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2" windowHeight="4452" activeTab="0"/>
  </bookViews>
  <sheets>
    <sheet name="Q'_GSI" sheetId="1" r:id="rId1"/>
    <sheet name="inviluppi" sheetId="2" r:id="rId2"/>
    <sheet name="inviluppi (0 &lt; s3 &lt; 1 MPa)" sheetId="3" r:id="rId3"/>
  </sheets>
  <definedNames>
    <definedName name="_xlnm.Print_Area" localSheetId="1">'inviluppi'!$A$1:$O$40</definedName>
    <definedName name="_xlnm.Print_Area" localSheetId="2">'inviluppi (0 &lt; s3 &lt; 1 MPa)'!$A$1:$O$40</definedName>
    <definedName name="_xlnm.Print_Area" localSheetId="0">'Q''_GSI'!$A$1:$M$254</definedName>
  </definedNames>
  <calcPr fullCalcOnLoad="1"/>
</workbook>
</file>

<file path=xl/sharedStrings.xml><?xml version="1.0" encoding="utf-8"?>
<sst xmlns="http://schemas.openxmlformats.org/spreadsheetml/2006/main" count="297" uniqueCount="143">
  <si>
    <t>DEFINIZIONE DEI PARAMETRI GEOMECCANICI DI RESISTENZA E DEFORMABILITA'</t>
  </si>
  <si>
    <t xml:space="preserve"> </t>
  </si>
  <si>
    <t>Committente</t>
  </si>
  <si>
    <t>Commessa</t>
  </si>
  <si>
    <t>Località</t>
  </si>
  <si>
    <t>Data</t>
  </si>
  <si>
    <t>Area di rilievo</t>
  </si>
  <si>
    <t>geomeccanico</t>
  </si>
  <si>
    <t>Q System (Grimstad e Barton, 1993)</t>
  </si>
  <si>
    <t>RQD</t>
  </si>
  <si>
    <r>
      <t>J</t>
    </r>
    <r>
      <rPr>
        <b/>
        <i/>
        <vertAlign val="subscript"/>
        <sz val="10"/>
        <rFont val="Arial"/>
        <family val="2"/>
      </rPr>
      <t>r</t>
    </r>
  </si>
  <si>
    <r>
      <t>J</t>
    </r>
    <r>
      <rPr>
        <b/>
        <i/>
        <vertAlign val="subscript"/>
        <sz val="10"/>
        <rFont val="Arial"/>
        <family val="2"/>
      </rPr>
      <t>w</t>
    </r>
  </si>
  <si>
    <t>: Rock Quality Designation</t>
  </si>
  <si>
    <t>[%]</t>
  </si>
  <si>
    <t>[-]</t>
  </si>
  <si>
    <r>
      <t>J</t>
    </r>
    <r>
      <rPr>
        <b/>
        <i/>
        <vertAlign val="subscript"/>
        <sz val="10"/>
        <rFont val="Arial"/>
        <family val="0"/>
      </rPr>
      <t>n</t>
    </r>
  </si>
  <si>
    <t>: Joint Set Number</t>
  </si>
  <si>
    <r>
      <t>J</t>
    </r>
    <r>
      <rPr>
        <b/>
        <i/>
        <vertAlign val="subscript"/>
        <sz val="10"/>
        <rFont val="Arial"/>
        <family val="0"/>
      </rPr>
      <t>r</t>
    </r>
  </si>
  <si>
    <t>: Joint Roughness Number</t>
  </si>
  <si>
    <r>
      <t>J</t>
    </r>
    <r>
      <rPr>
        <b/>
        <i/>
        <vertAlign val="subscript"/>
        <sz val="10"/>
        <rFont val="Arial"/>
        <family val="2"/>
      </rPr>
      <t>n</t>
    </r>
  </si>
  <si>
    <r>
      <t>J</t>
    </r>
    <r>
      <rPr>
        <b/>
        <i/>
        <vertAlign val="subscript"/>
        <sz val="10"/>
        <rFont val="Arial"/>
        <family val="2"/>
      </rPr>
      <t>a</t>
    </r>
  </si>
  <si>
    <t>SRF</t>
  </si>
  <si>
    <r>
      <t>J</t>
    </r>
    <r>
      <rPr>
        <b/>
        <i/>
        <vertAlign val="subscript"/>
        <sz val="10"/>
        <rFont val="Arial"/>
        <family val="0"/>
      </rPr>
      <t>a</t>
    </r>
  </si>
  <si>
    <t>: Joint Alteration Number</t>
  </si>
  <si>
    <r>
      <t>J</t>
    </r>
    <r>
      <rPr>
        <b/>
        <i/>
        <vertAlign val="subscript"/>
        <sz val="10"/>
        <rFont val="Arial"/>
        <family val="0"/>
      </rPr>
      <t>w</t>
    </r>
  </si>
  <si>
    <t>: Joint Water Reduction Factor</t>
  </si>
  <si>
    <t>: Stress Reduction Factor</t>
  </si>
  <si>
    <t>classe</t>
  </si>
  <si>
    <t>qualità dell'ammasso</t>
  </si>
  <si>
    <t>Q'</t>
  </si>
  <si>
    <t>: indice di qualità intrinseco</t>
  </si>
  <si>
    <t xml:space="preserve">  dell'ammasso roccioso</t>
  </si>
  <si>
    <r>
      <t xml:space="preserve">  (J</t>
    </r>
    <r>
      <rPr>
        <i/>
        <vertAlign val="subscript"/>
        <sz val="10"/>
        <rFont val="Arial"/>
        <family val="2"/>
      </rPr>
      <t>w</t>
    </r>
    <r>
      <rPr>
        <i/>
        <sz val="10"/>
        <rFont val="Arial"/>
        <family val="0"/>
      </rPr>
      <t xml:space="preserve"> = 1 e SRF = 1)</t>
    </r>
  </si>
  <si>
    <t>RMR System - Geomechanics Classification (Bieniawski, 1989)</t>
  </si>
  <si>
    <t>[MPa]</t>
  </si>
  <si>
    <t>Rock Quality Designation RQD</t>
  </si>
  <si>
    <t>N° di famiglie di discontinuità</t>
  </si>
  <si>
    <t>Spaziatura delle discontinuità</t>
  </si>
  <si>
    <t>[cm]</t>
  </si>
  <si>
    <t>Condizioni delle discontinuità:</t>
  </si>
  <si>
    <t>lunghezza</t>
  </si>
  <si>
    <t>[m]</t>
  </si>
  <si>
    <t>apertura</t>
  </si>
  <si>
    <t>[mm]</t>
  </si>
  <si>
    <t>rugosità</t>
  </si>
  <si>
    <t>riempimento:</t>
  </si>
  <si>
    <t>tipo</t>
  </si>
  <si>
    <t>spessore</t>
  </si>
  <si>
    <t>alterazione</t>
  </si>
  <si>
    <t>Condizioni idriche</t>
  </si>
  <si>
    <t>umido</t>
  </si>
  <si>
    <t>GSI</t>
  </si>
  <si>
    <t xml:space="preserve">Hoek (1994) (da Bieniawski, 1976)  </t>
  </si>
  <si>
    <t xml:space="preserve">Russo, Kalamaras e Grasso (1998)  </t>
  </si>
  <si>
    <t>GSI = 9 ln Q' + 44</t>
  </si>
  <si>
    <t>GSI =10 ln Q' + 32</t>
  </si>
  <si>
    <t xml:space="preserve">PARAMETRI GEOMECCANICI </t>
  </si>
  <si>
    <t xml:space="preserve">Parametri di resistenza secondo il criterio di rottura di Hoek e Brown </t>
  </si>
  <si>
    <t>Materiale roccia</t>
  </si>
  <si>
    <t xml:space="preserve">resistenza a compressione monoassiale </t>
  </si>
  <si>
    <t xml:space="preserve">parametro dell'inviluppo di rottura </t>
  </si>
  <si>
    <r>
      <t>m</t>
    </r>
    <r>
      <rPr>
        <b/>
        <i/>
        <vertAlign val="subscript"/>
        <sz val="10"/>
        <rFont val="Arial"/>
        <family val="2"/>
      </rPr>
      <t>i</t>
    </r>
    <r>
      <rPr>
        <b/>
        <i/>
        <sz val="10"/>
        <rFont val="Arial"/>
        <family val="0"/>
      </rPr>
      <t xml:space="preserve"> </t>
    </r>
    <r>
      <rPr>
        <i/>
        <sz val="10"/>
        <rFont val="Arial"/>
        <family val="0"/>
      </rPr>
      <t>[-]</t>
    </r>
  </si>
  <si>
    <t xml:space="preserve">parametri dell'inviluppo di rottura  </t>
  </si>
  <si>
    <r>
      <t xml:space="preserve">s </t>
    </r>
    <r>
      <rPr>
        <i/>
        <sz val="10"/>
        <rFont val="Arial"/>
        <family val="0"/>
      </rPr>
      <t>[-]</t>
    </r>
  </si>
  <si>
    <t>resistenza a compressione monoassiale</t>
  </si>
  <si>
    <t>parametri dell'inviluppo di rottura</t>
  </si>
  <si>
    <t>Modulo di deformabilità</t>
  </si>
  <si>
    <t>INVILUPPO DI ROTTURA DELL'AMMASSO ROCCIOSO</t>
  </si>
  <si>
    <r>
      <t>s</t>
    </r>
    <r>
      <rPr>
        <b/>
        <i/>
        <vertAlign val="subscript"/>
        <sz val="10"/>
        <rFont val="Arial"/>
        <family val="2"/>
      </rPr>
      <t>3</t>
    </r>
  </si>
  <si>
    <r>
      <t>s</t>
    </r>
    <r>
      <rPr>
        <b/>
        <i/>
        <vertAlign val="subscript"/>
        <sz val="10"/>
        <rFont val="Arial"/>
        <family val="2"/>
      </rPr>
      <t>1</t>
    </r>
  </si>
  <si>
    <r>
      <t>s</t>
    </r>
    <r>
      <rPr>
        <b/>
        <i/>
        <vertAlign val="subscript"/>
        <sz val="10"/>
        <rFont val="Arial"/>
        <family val="2"/>
      </rPr>
      <t>n</t>
    </r>
  </si>
  <si>
    <t>t</t>
  </si>
  <si>
    <r>
      <t>c</t>
    </r>
    <r>
      <rPr>
        <b/>
        <i/>
        <vertAlign val="subscript"/>
        <sz val="10"/>
        <rFont val="Arial"/>
        <family val="0"/>
      </rPr>
      <t>i</t>
    </r>
  </si>
  <si>
    <r>
      <t>j</t>
    </r>
    <r>
      <rPr>
        <b/>
        <i/>
        <vertAlign val="subscript"/>
        <sz val="10"/>
        <rFont val="Arial"/>
        <family val="0"/>
      </rPr>
      <t>i</t>
    </r>
  </si>
  <si>
    <t>T</t>
  </si>
  <si>
    <t>Tr</t>
  </si>
  <si>
    <r>
      <t>s</t>
    </r>
    <r>
      <rPr>
        <b/>
        <i/>
        <vertAlign val="subscript"/>
        <sz val="10"/>
        <rFont val="Arial"/>
        <family val="2"/>
      </rPr>
      <t>3 r</t>
    </r>
  </si>
  <si>
    <r>
      <t>s</t>
    </r>
    <r>
      <rPr>
        <b/>
        <i/>
        <vertAlign val="subscript"/>
        <sz val="10"/>
        <rFont val="Arial"/>
        <family val="2"/>
      </rPr>
      <t>1 r</t>
    </r>
  </si>
  <si>
    <t>[°]</t>
  </si>
  <si>
    <t>NOTA:</t>
  </si>
  <si>
    <r>
      <t xml:space="preserve">= costante molto empirica per il calcolo di </t>
    </r>
    <r>
      <rPr>
        <sz val="10"/>
        <rFont val="Symbol"/>
        <family val="1"/>
      </rPr>
      <t>s</t>
    </r>
    <r>
      <rPr>
        <i/>
        <vertAlign val="subscript"/>
        <sz val="10"/>
        <rFont val="Arial"/>
        <family val="2"/>
      </rPr>
      <t>3</t>
    </r>
  </si>
  <si>
    <r>
      <t xml:space="preserve">   corrispondente a </t>
    </r>
    <r>
      <rPr>
        <sz val="10"/>
        <rFont val="Symbol"/>
        <family val="1"/>
      </rPr>
      <t>s</t>
    </r>
    <r>
      <rPr>
        <i/>
        <vertAlign val="subscript"/>
        <sz val="10"/>
        <rFont val="Arial"/>
        <family val="2"/>
      </rPr>
      <t>n</t>
    </r>
    <r>
      <rPr>
        <i/>
        <sz val="10"/>
        <rFont val="Arial"/>
        <family val="0"/>
      </rPr>
      <t>=0</t>
    </r>
  </si>
  <si>
    <r>
      <t>INVILUPPO DI ROTTURA DELL'AMMASSO ROCCIOSO</t>
    </r>
    <r>
      <rPr>
        <i/>
        <sz val="10"/>
        <rFont val="Arial"/>
        <family val="0"/>
      </rPr>
      <t xml:space="preserve"> (</t>
    </r>
    <r>
      <rPr>
        <sz val="10"/>
        <rFont val="Symbol"/>
        <family val="1"/>
      </rPr>
      <t>s</t>
    </r>
    <r>
      <rPr>
        <i/>
        <vertAlign val="subscript"/>
        <sz val="10"/>
        <rFont val="Arial"/>
        <family val="2"/>
      </rPr>
      <t>3</t>
    </r>
    <r>
      <rPr>
        <i/>
        <sz val="10"/>
        <rFont val="Arial"/>
        <family val="0"/>
      </rPr>
      <t xml:space="preserve"> = 0 - 1 MPa)</t>
    </r>
  </si>
  <si>
    <t>[kPa]</t>
  </si>
  <si>
    <r>
      <t xml:space="preserve">a </t>
    </r>
    <r>
      <rPr>
        <i/>
        <sz val="10"/>
        <rFont val="Arial"/>
        <family val="0"/>
      </rPr>
      <t>[-]</t>
    </r>
  </si>
  <si>
    <r>
      <t xml:space="preserve">   GSI</t>
    </r>
    <r>
      <rPr>
        <b/>
        <i/>
        <vertAlign val="subscript"/>
        <sz val="10"/>
        <rFont val="Arial"/>
        <family val="2"/>
      </rPr>
      <t xml:space="preserve">RES </t>
    </r>
  </si>
  <si>
    <t>resistenza a trazione (calcolata)</t>
  </si>
  <si>
    <r>
      <t>s</t>
    </r>
    <r>
      <rPr>
        <b/>
        <i/>
        <vertAlign val="subscript"/>
        <sz val="10"/>
        <rFont val="Arial"/>
        <family val="2"/>
      </rPr>
      <t>t</t>
    </r>
    <r>
      <rPr>
        <b/>
        <i/>
        <sz val="10"/>
        <rFont val="Arial"/>
        <family val="0"/>
      </rPr>
      <t xml:space="preserve"> </t>
    </r>
    <r>
      <rPr>
        <i/>
        <sz val="10"/>
        <rFont val="Arial"/>
        <family val="0"/>
      </rPr>
      <t>[MPa]</t>
    </r>
  </si>
  <si>
    <t xml:space="preserve">resistenza a trazione </t>
  </si>
  <si>
    <t>Ammasso roccioso - Condizioni di picco</t>
  </si>
  <si>
    <t>Ammasso roccioso - Condizioni post-rottura</t>
  </si>
  <si>
    <t>Condizioni di picco</t>
  </si>
  <si>
    <t>Condizioni post-rottura</t>
  </si>
  <si>
    <t>condizioni</t>
  </si>
  <si>
    <t>post-rottura</t>
  </si>
  <si>
    <t xml:space="preserve">condizioni </t>
  </si>
  <si>
    <t>di picco</t>
  </si>
  <si>
    <t>RMR'</t>
  </si>
  <si>
    <t>Qualità intrinseca dell'ammasso roccioso</t>
  </si>
  <si>
    <t>Rock Mass Rating intrinseco</t>
  </si>
  <si>
    <t>resistenza globale</t>
  </si>
  <si>
    <r>
      <t>s</t>
    </r>
    <r>
      <rPr>
        <b/>
        <i/>
        <vertAlign val="subscript"/>
        <sz val="10"/>
        <rFont val="Arial"/>
        <family val="2"/>
      </rPr>
      <t>cm</t>
    </r>
    <r>
      <rPr>
        <b/>
        <i/>
        <sz val="10"/>
        <rFont val="Arial"/>
        <family val="0"/>
      </rPr>
      <t xml:space="preserve"> </t>
    </r>
    <r>
      <rPr>
        <i/>
        <sz val="10"/>
        <rFont val="Arial"/>
        <family val="0"/>
      </rPr>
      <t>[MPa]</t>
    </r>
  </si>
  <si>
    <t>(Serafim e Pereira, 1983; Hoek et al., 2002)</t>
  </si>
  <si>
    <t>Litologia e descrizione geologica generale</t>
  </si>
  <si>
    <r>
      <t xml:space="preserve">Geological Strength Index </t>
    </r>
    <r>
      <rPr>
        <i/>
        <sz val="10"/>
        <rFont val="Arial"/>
        <family val="2"/>
      </rPr>
      <t>(Hoek e Marinos., 2000)</t>
    </r>
  </si>
  <si>
    <t>Tipo di ammasso roccioso secondo la classificazione di Hoek e Marinos, 2000</t>
  </si>
  <si>
    <t>parametro dell'inviluppo di rottura</t>
  </si>
  <si>
    <t>tipo ammasso</t>
  </si>
  <si>
    <r>
      <t>m</t>
    </r>
    <r>
      <rPr>
        <i/>
        <vertAlign val="subscript"/>
        <sz val="10"/>
        <rFont val="Arial"/>
        <family val="2"/>
      </rPr>
      <t>i</t>
    </r>
    <r>
      <rPr>
        <i/>
        <sz val="10"/>
        <rFont val="Arial"/>
        <family val="0"/>
      </rPr>
      <t xml:space="preserve"> [-]</t>
    </r>
  </si>
  <si>
    <t>percentuale relativa</t>
  </si>
  <si>
    <t xml:space="preserve">litotipo a </t>
  </si>
  <si>
    <t xml:space="preserve">litotipo b </t>
  </si>
  <si>
    <r>
      <t>m</t>
    </r>
    <r>
      <rPr>
        <i/>
        <vertAlign val="subscript"/>
        <sz val="10"/>
        <rFont val="Arial"/>
        <family val="2"/>
      </rPr>
      <t>i</t>
    </r>
    <r>
      <rPr>
        <i/>
        <sz val="10"/>
        <rFont val="Arial"/>
        <family val="2"/>
      </rPr>
      <t xml:space="preserve"> [-]</t>
    </r>
  </si>
  <si>
    <t>Parametri del materiale roccia assunti per la classificazione e la parametrizzazione</t>
  </si>
  <si>
    <t>picco</t>
  </si>
  <si>
    <t>Ammasso roccioso</t>
  </si>
  <si>
    <t xml:space="preserve">e parametri di base del materiale roccia </t>
  </si>
  <si>
    <t>modulo di deformabilità</t>
  </si>
  <si>
    <t xml:space="preserve">Coefficiente di disturbo </t>
  </si>
  <si>
    <r>
      <t>D</t>
    </r>
    <r>
      <rPr>
        <i/>
        <sz val="10"/>
        <rFont val="Arial"/>
        <family val="2"/>
      </rPr>
      <t xml:space="preserve"> [-]</t>
    </r>
  </si>
  <si>
    <t>alternanze</t>
  </si>
  <si>
    <r>
      <t>s</t>
    </r>
    <r>
      <rPr>
        <b/>
        <i/>
        <vertAlign val="subscript"/>
        <sz val="10"/>
        <rFont val="Arial"/>
        <family val="2"/>
      </rPr>
      <t>ci</t>
    </r>
    <r>
      <rPr>
        <b/>
        <i/>
        <sz val="10"/>
        <rFont val="Arial"/>
        <family val="0"/>
      </rPr>
      <t xml:space="preserve"> </t>
    </r>
    <r>
      <rPr>
        <i/>
        <sz val="10"/>
        <rFont val="Arial"/>
        <family val="0"/>
      </rPr>
      <t>[MPa]</t>
    </r>
  </si>
  <si>
    <r>
      <t>s</t>
    </r>
    <r>
      <rPr>
        <b/>
        <i/>
        <vertAlign val="subscript"/>
        <sz val="10"/>
        <rFont val="Arial"/>
        <family val="2"/>
      </rPr>
      <t>ti</t>
    </r>
    <r>
      <rPr>
        <b/>
        <i/>
        <sz val="10"/>
        <rFont val="Arial"/>
        <family val="0"/>
      </rPr>
      <t xml:space="preserve"> </t>
    </r>
    <r>
      <rPr>
        <i/>
        <sz val="10"/>
        <rFont val="Arial"/>
        <family val="0"/>
      </rPr>
      <t>[MPa]</t>
    </r>
  </si>
  <si>
    <r>
      <t>s</t>
    </r>
    <r>
      <rPr>
        <i/>
        <vertAlign val="subscript"/>
        <sz val="10"/>
        <rFont val="Arial"/>
        <family val="2"/>
      </rPr>
      <t>ci</t>
    </r>
    <r>
      <rPr>
        <i/>
        <sz val="10"/>
        <rFont val="Arial"/>
        <family val="0"/>
      </rPr>
      <t xml:space="preserve"> [MPa]</t>
    </r>
  </si>
  <si>
    <r>
      <t xml:space="preserve">Resistenza a compressione monoassiale </t>
    </r>
    <r>
      <rPr>
        <i/>
        <sz val="10"/>
        <rFont val="Symbol"/>
        <family val="1"/>
      </rPr>
      <t>s</t>
    </r>
    <r>
      <rPr>
        <i/>
        <vertAlign val="subscript"/>
        <sz val="10"/>
        <rFont val="Arial"/>
        <family val="2"/>
      </rPr>
      <t>ci</t>
    </r>
  </si>
  <si>
    <r>
      <t>m</t>
    </r>
    <r>
      <rPr>
        <b/>
        <i/>
        <vertAlign val="subscript"/>
        <sz val="10"/>
        <rFont val="Arial"/>
        <family val="2"/>
      </rPr>
      <t>b</t>
    </r>
    <r>
      <rPr>
        <b/>
        <i/>
        <sz val="10"/>
        <rFont val="Arial"/>
        <family val="0"/>
      </rPr>
      <t xml:space="preserve"> </t>
    </r>
    <r>
      <rPr>
        <i/>
        <sz val="10"/>
        <rFont val="Arial"/>
        <family val="0"/>
      </rPr>
      <t>[-]</t>
    </r>
  </si>
  <si>
    <r>
      <t>s</t>
    </r>
    <r>
      <rPr>
        <b/>
        <i/>
        <vertAlign val="subscript"/>
        <sz val="10"/>
        <rFont val="Arial"/>
        <family val="2"/>
      </rPr>
      <t>c</t>
    </r>
    <r>
      <rPr>
        <b/>
        <i/>
        <sz val="10"/>
        <rFont val="Arial"/>
        <family val="0"/>
      </rPr>
      <t xml:space="preserve"> </t>
    </r>
    <r>
      <rPr>
        <i/>
        <sz val="10"/>
        <rFont val="Arial"/>
        <family val="0"/>
      </rPr>
      <t>[MPa]</t>
    </r>
  </si>
  <si>
    <r>
      <t>E</t>
    </r>
    <r>
      <rPr>
        <b/>
        <i/>
        <vertAlign val="subscript"/>
        <sz val="10"/>
        <rFont val="Arial"/>
        <family val="2"/>
      </rPr>
      <t>m</t>
    </r>
    <r>
      <rPr>
        <b/>
        <i/>
        <sz val="10"/>
        <rFont val="Arial"/>
        <family val="0"/>
      </rPr>
      <t xml:space="preserve"> </t>
    </r>
    <r>
      <rPr>
        <i/>
        <sz val="10"/>
        <rFont val="Arial"/>
        <family val="0"/>
      </rPr>
      <t>[GPa]</t>
    </r>
  </si>
  <si>
    <r>
      <t>s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0"/>
      </rPr>
      <t xml:space="preserve"> = </t>
    </r>
    <r>
      <rPr>
        <b/>
        <i/>
        <sz val="10"/>
        <rFont val="Symbol"/>
        <family val="1"/>
      </rPr>
      <t>s</t>
    </r>
    <r>
      <rPr>
        <b/>
        <i/>
        <vertAlign val="subscript"/>
        <sz val="10"/>
        <rFont val="Arial"/>
        <family val="2"/>
      </rPr>
      <t>3</t>
    </r>
    <r>
      <rPr>
        <b/>
        <i/>
        <sz val="10"/>
        <rFont val="Arial"/>
        <family val="0"/>
      </rPr>
      <t xml:space="preserve"> + </t>
    </r>
    <r>
      <rPr>
        <b/>
        <i/>
        <sz val="10"/>
        <rFont val="Symbol"/>
        <family val="1"/>
      </rPr>
      <t>s</t>
    </r>
    <r>
      <rPr>
        <b/>
        <i/>
        <vertAlign val="subscript"/>
        <sz val="10"/>
        <rFont val="Arial"/>
        <family val="2"/>
      </rPr>
      <t>ci</t>
    </r>
    <r>
      <rPr>
        <b/>
        <i/>
        <sz val="10"/>
        <rFont val="Arial"/>
        <family val="0"/>
      </rPr>
      <t xml:space="preserve"> (m</t>
    </r>
    <r>
      <rPr>
        <b/>
        <i/>
        <vertAlign val="subscript"/>
        <sz val="10"/>
        <rFont val="Arial"/>
        <family val="2"/>
      </rPr>
      <t>b</t>
    </r>
    <r>
      <rPr>
        <b/>
        <i/>
        <sz val="10"/>
        <rFont val="Arial"/>
        <family val="0"/>
      </rPr>
      <t xml:space="preserve"> </t>
    </r>
    <r>
      <rPr>
        <b/>
        <i/>
        <vertAlign val="subscript"/>
        <sz val="10"/>
        <rFont val="Arial"/>
        <family val="2"/>
      </rPr>
      <t>*</t>
    </r>
    <r>
      <rPr>
        <b/>
        <i/>
        <sz val="10"/>
        <rFont val="Symbol"/>
        <family val="1"/>
      </rPr>
      <t>s</t>
    </r>
    <r>
      <rPr>
        <b/>
        <i/>
        <vertAlign val="subscript"/>
        <sz val="10"/>
        <rFont val="Arial"/>
        <family val="2"/>
      </rPr>
      <t>3</t>
    </r>
    <r>
      <rPr>
        <b/>
        <i/>
        <sz val="10"/>
        <rFont val="Arial"/>
        <family val="0"/>
      </rPr>
      <t>/</t>
    </r>
    <r>
      <rPr>
        <b/>
        <i/>
        <sz val="10"/>
        <rFont val="Symbol"/>
        <family val="1"/>
      </rPr>
      <t>s</t>
    </r>
    <r>
      <rPr>
        <b/>
        <i/>
        <vertAlign val="subscript"/>
        <sz val="10"/>
        <rFont val="Arial"/>
        <family val="2"/>
      </rPr>
      <t>ci</t>
    </r>
    <r>
      <rPr>
        <b/>
        <i/>
        <sz val="10"/>
        <rFont val="Arial"/>
        <family val="0"/>
      </rPr>
      <t xml:space="preserve"> + s)</t>
    </r>
    <r>
      <rPr>
        <b/>
        <i/>
        <vertAlign val="superscript"/>
        <sz val="10"/>
        <rFont val="Arial"/>
        <family val="2"/>
      </rPr>
      <t xml:space="preserve">a 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(Hoek et al., 2002)</t>
    </r>
  </si>
  <si>
    <t>rottura</t>
  </si>
  <si>
    <t>post-</t>
  </si>
  <si>
    <t>lisce</t>
  </si>
  <si>
    <t>La Cementifera S.r.l.</t>
  </si>
  <si>
    <t>Robbiate (LC)</t>
  </si>
  <si>
    <t>02/01/03</t>
  </si>
  <si>
    <t>C</t>
  </si>
  <si>
    <t>duro</t>
  </si>
  <si>
    <t>Piano di recupero "La Cementifera"</t>
  </si>
  <si>
    <t>[Piano di Brenno: Cretaceo sup.]</t>
  </si>
  <si>
    <t>RG 4</t>
  </si>
  <si>
    <t>in livelli di spessore variabile tra 1e 2 cm.</t>
  </si>
  <si>
    <t>debolmente alterate</t>
  </si>
  <si>
    <t>Alternanze di calcari marnosi grigi in strati di spessore variabile tra 2 e 10 cm e marne laminate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</si>
</sst>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0.000000"/>
    <numFmt numFmtId="173" formatCode="0.00000"/>
    <numFmt numFmtId="174" formatCode="0.0000"/>
    <numFmt numFmtId="175" formatCode="0.0\ 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_-* #,##0.00000_-;\-* #,##0.00000_-;_-* &quot;-&quot;_-;_-@_-"/>
    <numFmt numFmtId="181" formatCode="0."/>
    <numFmt numFmtId="182" formatCode="0.0000000"/>
    <numFmt numFmtId="183" formatCode="0.00E+0"/>
    <numFmt numFmtId="184" formatCode="0.00000000"/>
    <numFmt numFmtId="185" formatCode="0.000000000"/>
    <numFmt numFmtId="186" formatCode="0.0000000000"/>
    <numFmt numFmtId="187" formatCode="0.00000000000"/>
    <numFmt numFmtId="188" formatCode="0.0E+00"/>
    <numFmt numFmtId="189" formatCode="0E+00"/>
    <numFmt numFmtId="190" formatCode="0.000000000000"/>
    <numFmt numFmtId="191" formatCode="0.0000000000000"/>
    <numFmt numFmtId="192" formatCode="0.0000E+00"/>
    <numFmt numFmtId="193" formatCode="0.00000E+00"/>
    <numFmt numFmtId="194" formatCode="0.000E+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vertAlign val="subscript"/>
      <sz val="10"/>
      <name val="Arial"/>
      <family val="2"/>
    </font>
    <font>
      <i/>
      <sz val="10"/>
      <color indexed="8"/>
      <name val="Arial"/>
      <family val="2"/>
    </font>
    <font>
      <sz val="10"/>
      <name val="Symbol"/>
      <family val="1"/>
    </font>
    <font>
      <b/>
      <i/>
      <sz val="10"/>
      <name val="Symbol"/>
      <family val="0"/>
    </font>
    <font>
      <vertAlign val="subscript"/>
      <sz val="10"/>
      <name val="Arial"/>
      <family val="2"/>
    </font>
    <font>
      <vertAlign val="subscript"/>
      <sz val="10"/>
      <name val="Symbol"/>
      <family val="1"/>
    </font>
    <font>
      <sz val="8"/>
      <name val="Arial"/>
      <family val="2"/>
    </font>
    <font>
      <b/>
      <sz val="11"/>
      <name val="Arial"/>
      <family val="2"/>
    </font>
    <font>
      <i/>
      <sz val="10"/>
      <color indexed="9"/>
      <name val="Arial"/>
      <family val="2"/>
    </font>
    <font>
      <i/>
      <vertAlign val="subscript"/>
      <sz val="10"/>
      <name val="Arial"/>
      <family val="2"/>
    </font>
    <font>
      <b/>
      <i/>
      <sz val="10"/>
      <color indexed="9"/>
      <name val="Arial"/>
      <family val="2"/>
    </font>
    <font>
      <b/>
      <i/>
      <vertAlign val="superscript"/>
      <sz val="10"/>
      <name val="Arial"/>
      <family val="2"/>
    </font>
    <font>
      <b/>
      <i/>
      <sz val="12"/>
      <name val="Arial"/>
      <family val="2"/>
    </font>
    <font>
      <i/>
      <sz val="10"/>
      <name val="Symbol"/>
      <family val="1"/>
    </font>
    <font>
      <b/>
      <i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3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3" fillId="2" borderId="5" xfId="0" applyFont="1" applyFill="1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2" fillId="2" borderId="7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71" fontId="2" fillId="2" borderId="3" xfId="0" applyNumberFormat="1" applyFont="1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centerContinuous"/>
      <protection/>
    </xf>
    <xf numFmtId="0" fontId="0" fillId="2" borderId="0" xfId="0" applyFill="1" applyBorder="1" applyAlignment="1" applyProtection="1">
      <alignment horizontal="centerContinuous"/>
      <protection/>
    </xf>
    <xf numFmtId="0" fontId="2" fillId="2" borderId="0" xfId="0" applyFont="1" applyFill="1" applyBorder="1" applyAlignment="1" applyProtection="1">
      <alignment horizontal="center"/>
      <protection/>
    </xf>
    <xf numFmtId="1" fontId="2" fillId="2" borderId="0" xfId="0" applyNumberFormat="1" applyFont="1" applyFill="1" applyBorder="1" applyAlignment="1" applyProtection="1">
      <alignment horizontal="center"/>
      <protection/>
    </xf>
    <xf numFmtId="171" fontId="2" fillId="2" borderId="0" xfId="0" applyNumberFormat="1" applyFont="1" applyFill="1" applyBorder="1" applyAlignment="1" applyProtection="1">
      <alignment horizontal="center"/>
      <protection/>
    </xf>
    <xf numFmtId="14" fontId="2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horizontal="center"/>
      <protection/>
    </xf>
    <xf numFmtId="174" fontId="2" fillId="2" borderId="0" xfId="0" applyNumberFormat="1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2" fillId="2" borderId="5" xfId="0" applyFont="1" applyFill="1" applyBorder="1" applyAlignment="1" applyProtection="1">
      <alignment horizontal="center"/>
      <protection/>
    </xf>
    <xf numFmtId="171" fontId="2" fillId="2" borderId="5" xfId="0" applyNumberFormat="1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Continuous"/>
      <protection/>
    </xf>
    <xf numFmtId="171" fontId="2" fillId="2" borderId="0" xfId="16" applyNumberFormat="1" applyFont="1" applyFill="1" applyBorder="1" applyAlignment="1" applyProtection="1">
      <alignment horizontal="center"/>
      <protection/>
    </xf>
    <xf numFmtId="1" fontId="2" fillId="2" borderId="0" xfId="0" applyNumberFormat="1" applyFont="1" applyFill="1" applyBorder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1" fontId="2" fillId="2" borderId="3" xfId="0" applyNumberFormat="1" applyFont="1" applyFill="1" applyBorder="1" applyAlignment="1" applyProtection="1">
      <alignment horizontal="left"/>
      <protection/>
    </xf>
    <xf numFmtId="14" fontId="2" fillId="2" borderId="3" xfId="0" applyNumberFormat="1" applyFont="1" applyFill="1" applyBorder="1" applyAlignment="1" applyProtection="1">
      <alignment horizontal="center"/>
      <protection/>
    </xf>
    <xf numFmtId="171" fontId="2" fillId="2" borderId="8" xfId="0" applyNumberFormat="1" applyFont="1" applyFill="1" applyBorder="1" applyAlignment="1" applyProtection="1">
      <alignment horizontal="center"/>
      <protection/>
    </xf>
    <xf numFmtId="174" fontId="2" fillId="2" borderId="8" xfId="0" applyNumberFormat="1" applyFont="1" applyFill="1" applyBorder="1" applyAlignment="1" applyProtection="1">
      <alignment horizontal="center"/>
      <protection/>
    </xf>
    <xf numFmtId="0" fontId="2" fillId="2" borderId="9" xfId="0" applyFont="1" applyFill="1" applyBorder="1" applyAlignment="1" applyProtection="1">
      <alignment horizontal="left"/>
      <protection/>
    </xf>
    <xf numFmtId="0" fontId="2" fillId="2" borderId="10" xfId="0" applyFont="1" applyFill="1" applyBorder="1" applyAlignment="1" applyProtection="1">
      <alignment horizontal="center"/>
      <protection/>
    </xf>
    <xf numFmtId="174" fontId="2" fillId="2" borderId="11" xfId="0" applyNumberFormat="1" applyFont="1" applyFill="1" applyBorder="1" applyAlignment="1" applyProtection="1">
      <alignment horizontal="center"/>
      <protection/>
    </xf>
    <xf numFmtId="0" fontId="2" fillId="2" borderId="11" xfId="0" applyFont="1" applyFill="1" applyBorder="1" applyAlignment="1" applyProtection="1">
      <alignment horizontal="center"/>
      <protection/>
    </xf>
    <xf numFmtId="1" fontId="2" fillId="2" borderId="11" xfId="0" applyNumberFormat="1" applyFont="1" applyFill="1" applyBorder="1" applyAlignment="1" applyProtection="1">
      <alignment horizontal="center"/>
      <protection/>
    </xf>
    <xf numFmtId="1" fontId="2" fillId="2" borderId="10" xfId="0" applyNumberFormat="1" applyFont="1" applyFill="1" applyBorder="1" applyAlignment="1" applyProtection="1">
      <alignment horizontal="center"/>
      <protection/>
    </xf>
    <xf numFmtId="14" fontId="2" fillId="2" borderId="9" xfId="0" applyNumberFormat="1" applyFont="1" applyFill="1" applyBorder="1" applyAlignment="1" applyProtection="1">
      <alignment horizontal="left"/>
      <protection/>
    </xf>
    <xf numFmtId="0" fontId="2" fillId="2" borderId="11" xfId="0" applyNumberFormat="1" applyFont="1" applyFill="1" applyBorder="1" applyAlignment="1" applyProtection="1">
      <alignment horizontal="center"/>
      <protection/>
    </xf>
    <xf numFmtId="174" fontId="2" fillId="2" borderId="10" xfId="0" applyNumberFormat="1" applyFont="1" applyFill="1" applyBorder="1" applyAlignment="1" applyProtection="1">
      <alignment horizontal="center"/>
      <protection/>
    </xf>
    <xf numFmtId="1" fontId="2" fillId="2" borderId="0" xfId="0" applyNumberFormat="1" applyFont="1" applyFill="1" applyAlignment="1" applyProtection="1">
      <alignment horizontal="center"/>
      <protection/>
    </xf>
    <xf numFmtId="1" fontId="2" fillId="2" borderId="8" xfId="0" applyNumberFormat="1" applyFont="1" applyFill="1" applyBorder="1" applyAlignment="1" applyProtection="1">
      <alignment horizontal="center"/>
      <protection/>
    </xf>
    <xf numFmtId="1" fontId="2" fillId="2" borderId="7" xfId="0" applyNumberFormat="1" applyFont="1" applyFill="1" applyBorder="1" applyAlignment="1" applyProtection="1">
      <alignment horizontal="center"/>
      <protection/>
    </xf>
    <xf numFmtId="1" fontId="3" fillId="2" borderId="10" xfId="0" applyNumberFormat="1" applyFont="1" applyFill="1" applyBorder="1" applyAlignment="1" applyProtection="1">
      <alignment horizontal="center"/>
      <protection/>
    </xf>
    <xf numFmtId="171" fontId="5" fillId="2" borderId="0" xfId="0" applyNumberFormat="1" applyFont="1" applyFill="1" applyBorder="1" applyAlignment="1" applyProtection="1">
      <alignment horizontal="centerContinuous"/>
      <protection/>
    </xf>
    <xf numFmtId="171" fontId="2" fillId="2" borderId="0" xfId="0" applyNumberFormat="1" applyFont="1" applyFill="1" applyBorder="1" applyAlignment="1" applyProtection="1">
      <alignment horizontal="left"/>
      <protection/>
    </xf>
    <xf numFmtId="14" fontId="2" fillId="2" borderId="5" xfId="0" applyNumberFormat="1" applyFont="1" applyFill="1" applyBorder="1" applyAlignment="1" applyProtection="1">
      <alignment horizontal="center"/>
      <protection/>
    </xf>
    <xf numFmtId="1" fontId="2" fillId="2" borderId="12" xfId="0" applyNumberFormat="1" applyFont="1" applyFill="1" applyBorder="1" applyAlignment="1" applyProtection="1">
      <alignment horizontal="left"/>
      <protection/>
    </xf>
    <xf numFmtId="0" fontId="2" fillId="2" borderId="12" xfId="0" applyNumberFormat="1" applyFont="1" applyFill="1" applyBorder="1" applyAlignment="1" applyProtection="1">
      <alignment horizontal="center"/>
      <protection/>
    </xf>
    <xf numFmtId="174" fontId="2" fillId="2" borderId="12" xfId="0" applyNumberFormat="1" applyFont="1" applyFill="1" applyBorder="1" applyAlignment="1" applyProtection="1">
      <alignment horizontal="center"/>
      <protection/>
    </xf>
    <xf numFmtId="174" fontId="2" fillId="2" borderId="7" xfId="0" applyNumberFormat="1" applyFont="1" applyFill="1" applyBorder="1" applyAlignment="1" applyProtection="1">
      <alignment horizontal="center"/>
      <protection/>
    </xf>
    <xf numFmtId="0" fontId="3" fillId="2" borderId="13" xfId="0" applyFont="1" applyFill="1" applyBorder="1" applyAlignment="1" applyProtection="1">
      <alignment horizontal="centerContinuous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12" xfId="0" applyFont="1" applyFill="1" applyBorder="1" applyAlignment="1" applyProtection="1">
      <alignment horizontal="center"/>
      <protection/>
    </xf>
    <xf numFmtId="171" fontId="2" fillId="2" borderId="5" xfId="0" applyNumberFormat="1" applyFont="1" applyFill="1" applyBorder="1" applyAlignment="1" applyProtection="1">
      <alignment horizontal="centerContinuous"/>
      <protection/>
    </xf>
    <xf numFmtId="171" fontId="2" fillId="2" borderId="12" xfId="0" applyNumberFormat="1" applyFont="1" applyFill="1" applyBorder="1" applyAlignment="1" applyProtection="1">
      <alignment horizontal="centerContinuous"/>
      <protection/>
    </xf>
    <xf numFmtId="171" fontId="2" fillId="2" borderId="0" xfId="0" applyNumberFormat="1" applyFont="1" applyFill="1" applyBorder="1" applyAlignment="1" applyProtection="1">
      <alignment horizontal="centerContinuous"/>
      <protection/>
    </xf>
    <xf numFmtId="0" fontId="2" fillId="2" borderId="1" xfId="0" applyFont="1" applyFill="1" applyBorder="1" applyAlignment="1" applyProtection="1">
      <alignment/>
      <protection/>
    </xf>
    <xf numFmtId="0" fontId="2" fillId="2" borderId="13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2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center"/>
      <protection/>
    </xf>
    <xf numFmtId="2" fontId="2" fillId="2" borderId="5" xfId="0" applyNumberFormat="1" applyFont="1" applyFill="1" applyBorder="1" applyAlignment="1" applyProtection="1">
      <alignment horizontal="center"/>
      <protection/>
    </xf>
    <xf numFmtId="1" fontId="2" fillId="2" borderId="14" xfId="0" applyNumberFormat="1" applyFont="1" applyFill="1" applyBorder="1" applyAlignment="1" applyProtection="1">
      <alignment horizontal="center"/>
      <protection/>
    </xf>
    <xf numFmtId="0" fontId="3" fillId="2" borderId="0" xfId="0" applyFont="1" applyFill="1" applyAlignment="1" applyProtection="1">
      <alignment/>
      <protection/>
    </xf>
    <xf numFmtId="174" fontId="3" fillId="2" borderId="0" xfId="0" applyNumberFormat="1" applyFont="1" applyFill="1" applyBorder="1" applyAlignment="1" applyProtection="1">
      <alignment horizontal="center"/>
      <protection/>
    </xf>
    <xf numFmtId="171" fontId="2" fillId="2" borderId="0" xfId="0" applyNumberFormat="1" applyFont="1" applyFill="1" applyBorder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2" fillId="2" borderId="14" xfId="0" applyFont="1" applyFill="1" applyBorder="1" applyAlignment="1" applyProtection="1">
      <alignment horizontal="center"/>
      <protection/>
    </xf>
    <xf numFmtId="2" fontId="2" fillId="2" borderId="0" xfId="0" applyNumberFormat="1" applyFont="1" applyFill="1" applyBorder="1" applyAlignment="1" applyProtection="1">
      <alignment horizontal="center"/>
      <protection/>
    </xf>
    <xf numFmtId="2" fontId="2" fillId="2" borderId="6" xfId="0" applyNumberFormat="1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7" fillId="2" borderId="2" xfId="0" applyFont="1" applyFill="1" applyBorder="1" applyAlignment="1" applyProtection="1">
      <alignment horizontal="center"/>
      <protection/>
    </xf>
    <xf numFmtId="0" fontId="2" fillId="2" borderId="9" xfId="0" applyFont="1" applyFill="1" applyBorder="1" applyAlignment="1" applyProtection="1">
      <alignment horizontal="centerContinuous"/>
      <protection/>
    </xf>
    <xf numFmtId="1" fontId="2" fillId="2" borderId="15" xfId="0" applyNumberFormat="1" applyFont="1" applyFill="1" applyBorder="1" applyAlignment="1" applyProtection="1">
      <alignment horizontal="centerContinuous"/>
      <protection/>
    </xf>
    <xf numFmtId="0" fontId="2" fillId="2" borderId="0" xfId="0" applyFont="1" applyFill="1" applyBorder="1" applyAlignment="1" applyProtection="1">
      <alignment horizontal="centerContinuous"/>
      <protection/>
    </xf>
    <xf numFmtId="2" fontId="2" fillId="2" borderId="3" xfId="0" applyNumberFormat="1" applyFont="1" applyFill="1" applyBorder="1" applyAlignment="1" applyProtection="1">
      <alignment horizontal="center"/>
      <protection/>
    </xf>
    <xf numFmtId="2" fontId="2" fillId="2" borderId="4" xfId="0" applyNumberFormat="1" applyFont="1" applyFill="1" applyBorder="1" applyAlignment="1" applyProtection="1">
      <alignment horizontal="center"/>
      <protection/>
    </xf>
    <xf numFmtId="171" fontId="2" fillId="2" borderId="0" xfId="0" applyNumberFormat="1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left"/>
      <protection/>
    </xf>
    <xf numFmtId="0" fontId="0" fillId="2" borderId="16" xfId="0" applyFill="1" applyBorder="1" applyAlignment="1" applyProtection="1">
      <alignment/>
      <protection/>
    </xf>
    <xf numFmtId="1" fontId="2" fillId="2" borderId="17" xfId="0" applyNumberFormat="1" applyFont="1" applyFill="1" applyBorder="1" applyAlignment="1" applyProtection="1">
      <alignment horizontal="centerContinuous"/>
      <protection/>
    </xf>
    <xf numFmtId="0" fontId="0" fillId="2" borderId="18" xfId="0" applyFill="1" applyBorder="1" applyAlignment="1" applyProtection="1">
      <alignment horizontal="centerContinuous"/>
      <protection/>
    </xf>
    <xf numFmtId="0" fontId="0" fillId="2" borderId="19" xfId="0" applyFill="1" applyBorder="1" applyAlignment="1" applyProtection="1">
      <alignment/>
      <protection/>
    </xf>
    <xf numFmtId="0" fontId="6" fillId="2" borderId="20" xfId="0" applyFont="1" applyFill="1" applyBorder="1" applyAlignment="1" applyProtection="1">
      <alignment horizontal="center"/>
      <protection/>
    </xf>
    <xf numFmtId="0" fontId="2" fillId="2" borderId="21" xfId="0" applyFont="1" applyFill="1" applyBorder="1" applyAlignment="1" applyProtection="1">
      <alignment horizontal="center"/>
      <protection/>
    </xf>
    <xf numFmtId="2" fontId="2" fillId="2" borderId="22" xfId="0" applyNumberFormat="1" applyFont="1" applyFill="1" applyBorder="1" applyAlignment="1" applyProtection="1">
      <alignment horizontal="center"/>
      <protection/>
    </xf>
    <xf numFmtId="2" fontId="2" fillId="2" borderId="23" xfId="0" applyNumberFormat="1" applyFont="1" applyFill="1" applyBorder="1" applyAlignment="1" applyProtection="1">
      <alignment horizontal="center"/>
      <protection/>
    </xf>
    <xf numFmtId="2" fontId="2" fillId="2" borderId="24" xfId="0" applyNumberFormat="1" applyFont="1" applyFill="1" applyBorder="1" applyAlignment="1" applyProtection="1">
      <alignment horizontal="center"/>
      <protection/>
    </xf>
    <xf numFmtId="0" fontId="2" fillId="2" borderId="16" xfId="0" applyFont="1" applyFill="1" applyBorder="1" applyAlignment="1" applyProtection="1">
      <alignment horizontal="centerContinuous"/>
      <protection/>
    </xf>
    <xf numFmtId="0" fontId="2" fillId="2" borderId="19" xfId="0" applyFont="1" applyFill="1" applyBorder="1" applyAlignment="1" applyProtection="1">
      <alignment horizontal="center"/>
      <protection/>
    </xf>
    <xf numFmtId="0" fontId="6" fillId="2" borderId="25" xfId="0" applyFont="1" applyFill="1" applyBorder="1" applyAlignment="1" applyProtection="1">
      <alignment horizontal="center"/>
      <protection/>
    </xf>
    <xf numFmtId="2" fontId="2" fillId="2" borderId="25" xfId="0" applyNumberFormat="1" applyFont="1" applyFill="1" applyBorder="1" applyAlignment="1" applyProtection="1">
      <alignment horizontal="center"/>
      <protection/>
    </xf>
    <xf numFmtId="2" fontId="2" fillId="2" borderId="26" xfId="0" applyNumberFormat="1" applyFont="1" applyFill="1" applyBorder="1" applyAlignment="1" applyProtection="1">
      <alignment horizontal="center"/>
      <protection/>
    </xf>
    <xf numFmtId="0" fontId="6" fillId="2" borderId="27" xfId="0" applyFont="1" applyFill="1" applyBorder="1" applyAlignment="1" applyProtection="1">
      <alignment horizontal="center"/>
      <protection/>
    </xf>
    <xf numFmtId="0" fontId="2" fillId="2" borderId="28" xfId="0" applyFont="1" applyFill="1" applyBorder="1" applyAlignment="1" applyProtection="1">
      <alignment horizontal="center"/>
      <protection/>
    </xf>
    <xf numFmtId="2" fontId="5" fillId="2" borderId="3" xfId="0" applyNumberFormat="1" applyFont="1" applyFill="1" applyBorder="1" applyAlignment="1" applyProtection="1">
      <alignment horizontal="center"/>
      <protection/>
    </xf>
    <xf numFmtId="2" fontId="5" fillId="2" borderId="22" xfId="0" applyNumberFormat="1" applyFont="1" applyFill="1" applyBorder="1" applyAlignment="1" applyProtection="1">
      <alignment horizontal="center"/>
      <protection/>
    </xf>
    <xf numFmtId="1" fontId="5" fillId="2" borderId="29" xfId="0" applyNumberFormat="1" applyFont="1" applyFill="1" applyBorder="1" applyAlignment="1" applyProtection="1">
      <alignment horizontal="center"/>
      <protection/>
    </xf>
    <xf numFmtId="1" fontId="5" fillId="2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2" fillId="2" borderId="7" xfId="0" applyNumberFormat="1" applyFont="1" applyFill="1" applyBorder="1" applyAlignment="1" applyProtection="1">
      <alignment horizontal="center"/>
      <protection/>
    </xf>
    <xf numFmtId="2" fontId="2" fillId="2" borderId="8" xfId="0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/>
      <protection/>
    </xf>
    <xf numFmtId="170" fontId="3" fillId="2" borderId="0" xfId="0" applyNumberFormat="1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0" fontId="0" fillId="2" borderId="2" xfId="0" applyFill="1" applyBorder="1" applyAlignment="1" applyProtection="1">
      <alignment horizontal="centerContinuous"/>
      <protection/>
    </xf>
    <xf numFmtId="0" fontId="0" fillId="2" borderId="14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 horizontal="centerContinuous"/>
      <protection/>
    </xf>
    <xf numFmtId="171" fontId="3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12" xfId="0" applyFont="1" applyFill="1" applyBorder="1" applyAlignment="1" applyProtection="1">
      <alignment/>
      <protection/>
    </xf>
    <xf numFmtId="2" fontId="2" fillId="2" borderId="0" xfId="0" applyNumberFormat="1" applyFont="1" applyFill="1" applyBorder="1" applyAlignment="1" applyProtection="1">
      <alignment horizontal="centerContinuous"/>
      <protection/>
    </xf>
    <xf numFmtId="0" fontId="0" fillId="2" borderId="11" xfId="0" applyFont="1" applyFill="1" applyBorder="1" applyAlignment="1" applyProtection="1">
      <alignment/>
      <protection/>
    </xf>
    <xf numFmtId="1" fontId="3" fillId="2" borderId="7" xfId="0" applyNumberFormat="1" applyFont="1" applyFill="1" applyBorder="1" applyAlignment="1" applyProtection="1">
      <alignment horizontal="center"/>
      <protection/>
    </xf>
    <xf numFmtId="171" fontId="2" fillId="2" borderId="12" xfId="0" applyNumberFormat="1" applyFont="1" applyFill="1" applyBorder="1" applyAlignment="1" applyProtection="1">
      <alignment horizontal="center"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3" fillId="2" borderId="13" xfId="0" applyFont="1" applyFill="1" applyBorder="1" applyAlignment="1" applyProtection="1">
      <alignment horizontal="center"/>
      <protection/>
    </xf>
    <xf numFmtId="0" fontId="6" fillId="2" borderId="30" xfId="0" applyFont="1" applyFill="1" applyBorder="1" applyAlignment="1" applyProtection="1">
      <alignment horizontal="center"/>
      <protection/>
    </xf>
    <xf numFmtId="0" fontId="2" fillId="2" borderId="31" xfId="0" applyFont="1" applyFill="1" applyBorder="1" applyAlignment="1" applyProtection="1">
      <alignment horizontal="center"/>
      <protection/>
    </xf>
    <xf numFmtId="1" fontId="2" fillId="2" borderId="4" xfId="0" applyNumberFormat="1" applyFont="1" applyFill="1" applyBorder="1" applyAlignment="1" applyProtection="1">
      <alignment horizontal="center"/>
      <protection/>
    </xf>
    <xf numFmtId="2" fontId="5" fillId="2" borderId="0" xfId="0" applyNumberFormat="1" applyFont="1" applyFill="1" applyBorder="1" applyAlignment="1" applyProtection="1">
      <alignment horizontal="center"/>
      <protection/>
    </xf>
    <xf numFmtId="1" fontId="5" fillId="2" borderId="31" xfId="0" applyNumberFormat="1" applyFont="1" applyFill="1" applyBorder="1" applyAlignment="1" applyProtection="1">
      <alignment horizontal="center"/>
      <protection/>
    </xf>
    <xf numFmtId="1" fontId="2" fillId="2" borderId="24" xfId="0" applyNumberFormat="1" applyFont="1" applyFill="1" applyBorder="1" applyAlignment="1" applyProtection="1">
      <alignment horizontal="center"/>
      <protection/>
    </xf>
    <xf numFmtId="2" fontId="2" fillId="2" borderId="0" xfId="0" applyNumberFormat="1" applyFont="1" applyFill="1" applyAlignment="1" applyProtection="1">
      <alignment horizontal="center"/>
      <protection/>
    </xf>
    <xf numFmtId="1" fontId="2" fillId="3" borderId="5" xfId="0" applyNumberFormat="1" applyFont="1" applyFill="1" applyBorder="1" applyAlignment="1" applyProtection="1">
      <alignment horizontal="center"/>
      <protection locked="0"/>
    </xf>
    <xf numFmtId="171" fontId="2" fillId="3" borderId="5" xfId="0" applyNumberFormat="1" applyFont="1" applyFill="1" applyBorder="1" applyAlignment="1" applyProtection="1">
      <alignment horizontal="center"/>
      <protection locked="0"/>
    </xf>
    <xf numFmtId="171" fontId="2" fillId="3" borderId="7" xfId="16" applyNumberFormat="1" applyFont="1" applyFill="1" applyBorder="1" applyAlignment="1" applyProtection="1">
      <alignment horizontal="center"/>
      <protection locked="0"/>
    </xf>
    <xf numFmtId="171" fontId="2" fillId="3" borderId="7" xfId="0" applyNumberFormat="1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0" applyNumberFormat="1" applyFont="1" applyFill="1" applyBorder="1" applyAlignment="1" applyProtection="1">
      <alignment horizontal="right"/>
      <protection locked="0"/>
    </xf>
    <xf numFmtId="2" fontId="2" fillId="3" borderId="3" xfId="0" applyNumberFormat="1" applyFont="1" applyFill="1" applyBorder="1" applyAlignment="1" applyProtection="1">
      <alignment horizontal="left"/>
      <protection locked="0"/>
    </xf>
    <xf numFmtId="2" fontId="2" fillId="3" borderId="5" xfId="0" applyNumberFormat="1" applyFont="1" applyFill="1" applyBorder="1" applyAlignment="1" applyProtection="1">
      <alignment horizontal="left"/>
      <protection locked="0"/>
    </xf>
    <xf numFmtId="2" fontId="2" fillId="3" borderId="9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/>
    </xf>
    <xf numFmtId="0" fontId="2" fillId="2" borderId="13" xfId="0" applyFont="1" applyFill="1" applyBorder="1" applyAlignment="1" applyProtection="1">
      <alignment horizontal="center"/>
      <protection/>
    </xf>
    <xf numFmtId="1" fontId="2" fillId="2" borderId="5" xfId="0" applyNumberFormat="1" applyFont="1" applyFill="1" applyBorder="1" applyAlignment="1" applyProtection="1">
      <alignment horizontal="left"/>
      <protection/>
    </xf>
    <xf numFmtId="1" fontId="2" fillId="2" borderId="12" xfId="0" applyNumberFormat="1" applyFont="1" applyFill="1" applyBorder="1" applyAlignment="1" applyProtection="1">
      <alignment horizontal="center"/>
      <protection/>
    </xf>
    <xf numFmtId="1" fontId="0" fillId="2" borderId="12" xfId="0" applyNumberFormat="1" applyFont="1" applyFill="1" applyBorder="1" applyAlignment="1" applyProtection="1">
      <alignment/>
      <protection/>
    </xf>
    <xf numFmtId="0" fontId="2" fillId="2" borderId="6" xfId="0" applyFont="1" applyFill="1" applyBorder="1" applyAlignment="1" applyProtection="1">
      <alignment horizontal="center"/>
      <protection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1" fontId="12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170" fontId="2" fillId="2" borderId="10" xfId="0" applyNumberFormat="1" applyFont="1" applyFill="1" applyBorder="1" applyAlignment="1" applyProtection="1">
      <alignment horizontal="center"/>
      <protection/>
    </xf>
    <xf numFmtId="0" fontId="3" fillId="2" borderId="8" xfId="0" applyFont="1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/>
      <protection/>
    </xf>
    <xf numFmtId="0" fontId="2" fillId="2" borderId="11" xfId="0" applyFont="1" applyFill="1" applyBorder="1" applyAlignment="1" applyProtection="1">
      <alignment horizontal="centerContinuous"/>
      <protection/>
    </xf>
    <xf numFmtId="0" fontId="0" fillId="2" borderId="11" xfId="0" applyFill="1" applyBorder="1" applyAlignment="1" applyProtection="1">
      <alignment horizontal="centerContinuous"/>
      <protection/>
    </xf>
    <xf numFmtId="0" fontId="3" fillId="2" borderId="11" xfId="0" applyFont="1" applyFill="1" applyBorder="1" applyAlignment="1" applyProtection="1">
      <alignment horizontal="centerContinuous"/>
      <protection/>
    </xf>
    <xf numFmtId="171" fontId="2" fillId="2" borderId="15" xfId="0" applyNumberFormat="1" applyFont="1" applyFill="1" applyBorder="1" applyAlignment="1" applyProtection="1">
      <alignment horizontal="centerContinuous"/>
      <protection/>
    </xf>
    <xf numFmtId="0" fontId="2" fillId="2" borderId="15" xfId="0" applyFont="1" applyFill="1" applyBorder="1" applyAlignment="1" applyProtection="1">
      <alignment horizontal="centerContinuous"/>
      <protection/>
    </xf>
    <xf numFmtId="0" fontId="1" fillId="2" borderId="11" xfId="0" applyFont="1" applyFill="1" applyBorder="1" applyAlignment="1" applyProtection="1">
      <alignment horizontal="centerContinuous"/>
      <protection/>
    </xf>
    <xf numFmtId="1" fontId="2" fillId="2" borderId="13" xfId="0" applyNumberFormat="1" applyFont="1" applyFill="1" applyBorder="1" applyAlignment="1" applyProtection="1">
      <alignment horizontal="centerContinuous"/>
      <protection/>
    </xf>
    <xf numFmtId="0" fontId="2" fillId="2" borderId="19" xfId="0" applyFont="1" applyFill="1" applyBorder="1" applyAlignment="1" applyProtection="1">
      <alignment horizontal="centerContinuous"/>
      <protection/>
    </xf>
    <xf numFmtId="1" fontId="2" fillId="2" borderId="14" xfId="0" applyNumberFormat="1" applyFont="1" applyFill="1" applyBorder="1" applyAlignment="1" applyProtection="1">
      <alignment horizontal="centerContinuous"/>
      <protection/>
    </xf>
    <xf numFmtId="1" fontId="2" fillId="2" borderId="5" xfId="0" applyNumberFormat="1" applyFont="1" applyFill="1" applyBorder="1" applyAlignment="1" applyProtection="1">
      <alignment horizontal="centerContinuous"/>
      <protection/>
    </xf>
    <xf numFmtId="0" fontId="0" fillId="2" borderId="28" xfId="0" applyFill="1" applyBorder="1" applyAlignment="1" applyProtection="1">
      <alignment horizontal="centerContinuous"/>
      <protection/>
    </xf>
    <xf numFmtId="171" fontId="5" fillId="2" borderId="0" xfId="0" applyNumberFormat="1" applyFont="1" applyFill="1" applyBorder="1" applyAlignment="1" applyProtection="1">
      <alignment horizontal="center"/>
      <protection/>
    </xf>
    <xf numFmtId="174" fontId="5" fillId="2" borderId="9" xfId="0" applyNumberFormat="1" applyFont="1" applyFill="1" applyBorder="1" applyAlignment="1" applyProtection="1">
      <alignment horizontal="center"/>
      <protection/>
    </xf>
    <xf numFmtId="174" fontId="5" fillId="2" borderId="15" xfId="0" applyNumberFormat="1" applyFont="1" applyFill="1" applyBorder="1" applyAlignment="1" applyProtection="1">
      <alignment horizontal="center"/>
      <protection/>
    </xf>
    <xf numFmtId="174" fontId="2" fillId="2" borderId="5" xfId="0" applyNumberFormat="1" applyFont="1" applyFill="1" applyBorder="1" applyAlignment="1" applyProtection="1">
      <alignment horizontal="center"/>
      <protection/>
    </xf>
    <xf numFmtId="174" fontId="2" fillId="2" borderId="14" xfId="0" applyNumberFormat="1" applyFont="1" applyFill="1" applyBorder="1" applyAlignment="1" applyProtection="1">
      <alignment horizontal="center"/>
      <protection/>
    </xf>
    <xf numFmtId="2" fontId="2" fillId="2" borderId="9" xfId="0" applyNumberFormat="1" applyFont="1" applyFill="1" applyBorder="1" applyAlignment="1" applyProtection="1">
      <alignment horizontal="center"/>
      <protection/>
    </xf>
    <xf numFmtId="2" fontId="2" fillId="2" borderId="15" xfId="0" applyNumberFormat="1" applyFont="1" applyFill="1" applyBorder="1" applyAlignment="1" applyProtection="1">
      <alignment horizontal="center"/>
      <protection/>
    </xf>
    <xf numFmtId="0" fontId="2" fillId="2" borderId="32" xfId="0" applyFont="1" applyFill="1" applyBorder="1" applyAlignment="1" applyProtection="1">
      <alignment horizontal="center"/>
      <protection/>
    </xf>
    <xf numFmtId="2" fontId="2" fillId="2" borderId="33" xfId="0" applyNumberFormat="1" applyFont="1" applyFill="1" applyBorder="1" applyAlignment="1" applyProtection="1">
      <alignment horizontal="center"/>
      <protection/>
    </xf>
    <xf numFmtId="0" fontId="2" fillId="2" borderId="0" xfId="0" applyFont="1" applyFill="1" applyAlignment="1" applyProtection="1">
      <alignment horizontal="right"/>
      <protection/>
    </xf>
    <xf numFmtId="0" fontId="2" fillId="2" borderId="0" xfId="0" applyFont="1" applyFill="1" applyBorder="1" applyAlignment="1" applyProtection="1" quotePrefix="1">
      <alignment/>
      <protection/>
    </xf>
    <xf numFmtId="1" fontId="3" fillId="2" borderId="0" xfId="0" applyNumberFormat="1" applyFont="1" applyFill="1" applyBorder="1" applyAlignment="1" applyProtection="1">
      <alignment horizontal="center"/>
      <protection/>
    </xf>
    <xf numFmtId="2" fontId="3" fillId="2" borderId="7" xfId="0" applyNumberFormat="1" applyFont="1" applyFill="1" applyBorder="1" applyAlignment="1" applyProtection="1">
      <alignment horizontal="center"/>
      <protection/>
    </xf>
    <xf numFmtId="0" fontId="0" fillId="2" borderId="34" xfId="0" applyFill="1" applyBorder="1" applyAlignment="1" applyProtection="1">
      <alignment/>
      <protection/>
    </xf>
    <xf numFmtId="0" fontId="0" fillId="2" borderId="33" xfId="0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center"/>
      <protection/>
    </xf>
    <xf numFmtId="0" fontId="2" fillId="2" borderId="33" xfId="0" applyFont="1" applyFill="1" applyBorder="1" applyAlignment="1" applyProtection="1">
      <alignment horizontal="center"/>
      <protection/>
    </xf>
    <xf numFmtId="2" fontId="2" fillId="3" borderId="35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171" fontId="2" fillId="0" borderId="0" xfId="0" applyNumberFormat="1" applyFont="1" applyFill="1" applyBorder="1" applyAlignment="1" applyProtection="1">
      <alignment horizontal="center"/>
      <protection/>
    </xf>
    <xf numFmtId="171" fontId="3" fillId="2" borderId="10" xfId="0" applyNumberFormat="1" applyFont="1" applyFill="1" applyBorder="1" applyAlignment="1" applyProtection="1">
      <alignment horizontal="center"/>
      <protection/>
    </xf>
    <xf numFmtId="14" fontId="2" fillId="2" borderId="0" xfId="0" applyNumberFormat="1" applyFont="1" applyFill="1" applyBorder="1" applyAlignment="1" applyProtection="1">
      <alignment horizontal="left"/>
      <protection/>
    </xf>
    <xf numFmtId="1" fontId="14" fillId="2" borderId="0" xfId="0" applyNumberFormat="1" applyFont="1" applyFill="1" applyBorder="1" applyAlignment="1" applyProtection="1">
      <alignment horizontal="center"/>
      <protection/>
    </xf>
    <xf numFmtId="2" fontId="3" fillId="2" borderId="1" xfId="0" applyNumberFormat="1" applyFont="1" applyFill="1" applyBorder="1" applyAlignment="1" applyProtection="1">
      <alignment/>
      <protection/>
    </xf>
    <xf numFmtId="2" fontId="0" fillId="2" borderId="13" xfId="0" applyNumberFormat="1" applyFill="1" applyBorder="1" applyAlignment="1" applyProtection="1">
      <alignment/>
      <protection/>
    </xf>
    <xf numFmtId="2" fontId="3" fillId="2" borderId="5" xfId="0" applyNumberFormat="1" applyFont="1" applyFill="1" applyBorder="1" applyAlignment="1" applyProtection="1">
      <alignment/>
      <protection/>
    </xf>
    <xf numFmtId="2" fontId="3" fillId="2" borderId="1" xfId="0" applyNumberFormat="1" applyFont="1" applyFill="1" applyBorder="1" applyAlignment="1" applyProtection="1">
      <alignment horizontal="centerContinuous"/>
      <protection/>
    </xf>
    <xf numFmtId="0" fontId="0" fillId="2" borderId="13" xfId="0" applyFill="1" applyBorder="1" applyAlignment="1" applyProtection="1">
      <alignment horizontal="centerContinuous"/>
      <protection/>
    </xf>
    <xf numFmtId="171" fontId="2" fillId="2" borderId="13" xfId="0" applyNumberFormat="1" applyFont="1" applyFill="1" applyBorder="1" applyAlignment="1" applyProtection="1">
      <alignment horizontal="center"/>
      <protection/>
    </xf>
    <xf numFmtId="1" fontId="3" fillId="2" borderId="6" xfId="0" applyNumberFormat="1" applyFont="1" applyFill="1" applyBorder="1" applyAlignment="1" applyProtection="1">
      <alignment horizontal="center"/>
      <protection/>
    </xf>
    <xf numFmtId="41" fontId="2" fillId="3" borderId="3" xfId="16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3" fillId="2" borderId="5" xfId="0" applyFont="1" applyFill="1" applyBorder="1" applyAlignment="1" applyProtection="1">
      <alignment horizontal="center"/>
      <protection/>
    </xf>
    <xf numFmtId="2" fontId="0" fillId="2" borderId="12" xfId="0" applyNumberFormat="1" applyFill="1" applyBorder="1" applyAlignment="1" applyProtection="1">
      <alignment horizontal="center"/>
      <protection/>
    </xf>
    <xf numFmtId="171" fontId="3" fillId="2" borderId="12" xfId="0" applyNumberFormat="1" applyFont="1" applyFill="1" applyBorder="1" applyAlignment="1" applyProtection="1">
      <alignment horizontal="center"/>
      <protection/>
    </xf>
    <xf numFmtId="171" fontId="3" fillId="2" borderId="12" xfId="0" applyNumberFormat="1" applyFont="1" applyFill="1" applyBorder="1" applyAlignment="1" applyProtection="1">
      <alignment horizontal="right"/>
      <protection/>
    </xf>
    <xf numFmtId="0" fontId="0" fillId="2" borderId="17" xfId="0" applyFill="1" applyBorder="1" applyAlignment="1" applyProtection="1">
      <alignment horizontal="centerContinuous"/>
      <protection/>
    </xf>
    <xf numFmtId="0" fontId="0" fillId="2" borderId="12" xfId="0" applyFill="1" applyBorder="1" applyAlignment="1" applyProtection="1">
      <alignment horizontal="centerContinuous"/>
      <protection/>
    </xf>
    <xf numFmtId="0" fontId="3" fillId="2" borderId="27" xfId="0" applyFont="1" applyFill="1" applyBorder="1" applyAlignment="1" applyProtection="1">
      <alignment horizontal="center"/>
      <protection/>
    </xf>
    <xf numFmtId="0" fontId="2" fillId="2" borderId="25" xfId="0" applyFont="1" applyFill="1" applyBorder="1" applyAlignment="1" applyProtection="1">
      <alignment horizontal="center"/>
      <protection/>
    </xf>
    <xf numFmtId="1" fontId="2" fillId="2" borderId="25" xfId="0" applyNumberFormat="1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center"/>
      <protection/>
    </xf>
    <xf numFmtId="174" fontId="5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right"/>
      <protection/>
    </xf>
    <xf numFmtId="170" fontId="2" fillId="2" borderId="0" xfId="0" applyNumberFormat="1" applyFont="1" applyFill="1" applyBorder="1" applyAlignment="1" applyProtection="1">
      <alignment horizontal="center"/>
      <protection/>
    </xf>
    <xf numFmtId="2" fontId="2" fillId="2" borderId="2" xfId="0" applyNumberFormat="1" applyFont="1" applyFill="1" applyBorder="1" applyAlignment="1" applyProtection="1">
      <alignment horizontal="center"/>
      <protection/>
    </xf>
    <xf numFmtId="0" fontId="3" fillId="2" borderId="7" xfId="0" applyFont="1" applyFill="1" applyBorder="1" applyAlignment="1" applyProtection="1">
      <alignment horizontal="center"/>
      <protection/>
    </xf>
    <xf numFmtId="1" fontId="2" fillId="2" borderId="2" xfId="0" applyNumberFormat="1" applyFont="1" applyFill="1" applyBorder="1" applyAlignment="1" applyProtection="1">
      <alignment horizontal="center"/>
      <protection/>
    </xf>
    <xf numFmtId="0" fontId="7" fillId="2" borderId="6" xfId="0" applyFont="1" applyFill="1" applyBorder="1" applyAlignment="1" applyProtection="1">
      <alignment horizontal="center"/>
      <protection/>
    </xf>
    <xf numFmtId="0" fontId="7" fillId="2" borderId="8" xfId="0" applyFont="1" applyFill="1" applyBorder="1" applyAlignment="1" applyProtection="1">
      <alignment horizontal="center"/>
      <protection/>
    </xf>
    <xf numFmtId="171" fontId="2" fillId="2" borderId="4" xfId="0" applyNumberFormat="1" applyFont="1" applyFill="1" applyBorder="1" applyAlignment="1" applyProtection="1">
      <alignment horizontal="center"/>
      <protection/>
    </xf>
    <xf numFmtId="0" fontId="3" fillId="2" borderId="14" xfId="0" applyFont="1" applyFill="1" applyBorder="1" applyAlignment="1" applyProtection="1">
      <alignment horizontal="center"/>
      <protection/>
    </xf>
    <xf numFmtId="0" fontId="7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188" fontId="2" fillId="2" borderId="8" xfId="0" applyNumberFormat="1" applyFont="1" applyFill="1" applyBorder="1" applyAlignment="1" applyProtection="1">
      <alignment horizontal="center"/>
      <protection/>
    </xf>
    <xf numFmtId="1" fontId="2" fillId="2" borderId="36" xfId="0" applyNumberFormat="1" applyFont="1" applyFill="1" applyBorder="1" applyAlignment="1" applyProtection="1">
      <alignment horizontal="centerContinuous"/>
      <protection/>
    </xf>
    <xf numFmtId="2" fontId="3" fillId="2" borderId="0" xfId="0" applyNumberFormat="1" applyFont="1" applyFill="1" applyBorder="1" applyAlignment="1" applyProtection="1">
      <alignment horizontal="center"/>
      <protection/>
    </xf>
    <xf numFmtId="1" fontId="2" fillId="3" borderId="3" xfId="0" applyNumberFormat="1" applyFont="1" applyFill="1" applyBorder="1" applyAlignment="1" applyProtection="1">
      <alignment horizontal="center"/>
      <protection/>
    </xf>
    <xf numFmtId="1" fontId="2" fillId="3" borderId="8" xfId="0" applyNumberFormat="1" applyFont="1" applyFill="1" applyBorder="1" applyAlignment="1" applyProtection="1">
      <alignment horizontal="center"/>
      <protection/>
    </xf>
    <xf numFmtId="1" fontId="0" fillId="3" borderId="3" xfId="0" applyNumberFormat="1" applyFill="1" applyBorder="1" applyAlignment="1" applyProtection="1">
      <alignment/>
      <protection/>
    </xf>
    <xf numFmtId="171" fontId="2" fillId="3" borderId="15" xfId="0" applyNumberFormat="1" applyFont="1" applyFill="1" applyBorder="1" applyAlignment="1" applyProtection="1">
      <alignment horizontal="center"/>
      <protection/>
    </xf>
    <xf numFmtId="1" fontId="2" fillId="3" borderId="13" xfId="0" applyNumberFormat="1" applyFont="1" applyFill="1" applyBorder="1" applyAlignment="1" applyProtection="1">
      <alignment horizontal="right"/>
      <protection/>
    </xf>
    <xf numFmtId="171" fontId="2" fillId="3" borderId="2" xfId="0" applyNumberFormat="1" applyFont="1" applyFill="1" applyBorder="1" applyAlignment="1" applyProtection="1">
      <alignment horizontal="center"/>
      <protection/>
    </xf>
    <xf numFmtId="1" fontId="12" fillId="2" borderId="0" xfId="0" applyNumberFormat="1" applyFont="1" applyFill="1" applyBorder="1" applyAlignment="1" applyProtection="1">
      <alignment horizontal="right"/>
      <protection/>
    </xf>
    <xf numFmtId="1" fontId="2" fillId="3" borderId="12" xfId="0" applyNumberFormat="1" applyFont="1" applyFill="1" applyBorder="1" applyAlignment="1" applyProtection="1">
      <alignment horizontal="right"/>
      <protection/>
    </xf>
    <xf numFmtId="171" fontId="2" fillId="3" borderId="14" xfId="0" applyNumberFormat="1" applyFont="1" applyFill="1" applyBorder="1" applyAlignment="1" applyProtection="1">
      <alignment horizontal="center"/>
      <protection/>
    </xf>
    <xf numFmtId="2" fontId="2" fillId="3" borderId="0" xfId="0" applyNumberFormat="1" applyFont="1" applyFill="1" applyBorder="1" applyAlignment="1" applyProtection="1">
      <alignment horizontal="right"/>
      <protection/>
    </xf>
    <xf numFmtId="171" fontId="2" fillId="3" borderId="4" xfId="0" applyNumberFormat="1" applyFont="1" applyFill="1" applyBorder="1" applyAlignment="1" applyProtection="1">
      <alignment horizontal="center"/>
      <protection/>
    </xf>
    <xf numFmtId="1" fontId="2" fillId="3" borderId="0" xfId="0" applyNumberFormat="1" applyFont="1" applyFill="1" applyBorder="1" applyAlignment="1" applyProtection="1">
      <alignment horizontal="right"/>
      <protection/>
    </xf>
    <xf numFmtId="2" fontId="2" fillId="3" borderId="0" xfId="0" applyNumberFormat="1" applyFont="1" applyFill="1" applyBorder="1" applyAlignment="1" applyProtection="1">
      <alignment horizontal="left"/>
      <protection/>
    </xf>
    <xf numFmtId="2" fontId="2" fillId="3" borderId="12" xfId="0" applyNumberFormat="1" applyFont="1" applyFill="1" applyBorder="1" applyAlignment="1" applyProtection="1">
      <alignment horizontal="left"/>
      <protection/>
    </xf>
    <xf numFmtId="171" fontId="2" fillId="3" borderId="14" xfId="0" applyNumberFormat="1" applyFont="1" applyFill="1" applyBorder="1" applyAlignment="1" applyProtection="1">
      <alignment horizontal="centerContinuous"/>
      <protection/>
    </xf>
    <xf numFmtId="2" fontId="2" fillId="3" borderId="11" xfId="0" applyNumberFormat="1" applyFont="1" applyFill="1" applyBorder="1" applyAlignment="1" applyProtection="1">
      <alignment horizontal="left"/>
      <protection/>
    </xf>
    <xf numFmtId="2" fontId="2" fillId="2" borderId="0" xfId="0" applyNumberFormat="1" applyFont="1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/>
      <protection/>
    </xf>
    <xf numFmtId="0" fontId="2" fillId="3" borderId="5" xfId="0" applyFont="1" applyFill="1" applyBorder="1" applyAlignment="1" applyProtection="1">
      <alignment/>
      <protection locked="0"/>
    </xf>
    <xf numFmtId="2" fontId="2" fillId="3" borderId="37" xfId="0" applyNumberFormat="1" applyFont="1" applyFill="1" applyBorder="1" applyAlignment="1" applyProtection="1">
      <alignment horizontal="center"/>
      <protection locked="0"/>
    </xf>
    <xf numFmtId="2" fontId="2" fillId="3" borderId="38" xfId="0" applyNumberFormat="1" applyFont="1" applyFill="1" applyBorder="1" applyAlignment="1" applyProtection="1">
      <alignment horizontal="center"/>
      <protection locked="0"/>
    </xf>
    <xf numFmtId="2" fontId="2" fillId="3" borderId="39" xfId="0" applyNumberFormat="1" applyFont="1" applyFill="1" applyBorder="1" applyAlignment="1" applyProtection="1">
      <alignment horizontal="center"/>
      <protection locked="0"/>
    </xf>
    <xf numFmtId="14" fontId="2" fillId="3" borderId="0" xfId="0" applyNumberFormat="1" applyFont="1" applyFill="1" applyBorder="1" applyAlignment="1" applyProtection="1" quotePrefix="1">
      <alignment horizontal="left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/>
    </xf>
    <xf numFmtId="0" fontId="7" fillId="2" borderId="7" xfId="0" applyFont="1" applyFill="1" applyBorder="1" applyAlignment="1" applyProtection="1">
      <alignment horizontal="center"/>
      <protection/>
    </xf>
    <xf numFmtId="0" fontId="0" fillId="3" borderId="13" xfId="0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0" fontId="0" fillId="3" borderId="14" xfId="0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0" fontId="2" fillId="2" borderId="13" xfId="0" applyFont="1" applyFill="1" applyBorder="1" applyAlignment="1" applyProtection="1">
      <alignment horizontal="left"/>
      <protection/>
    </xf>
    <xf numFmtId="0" fontId="2" fillId="2" borderId="3" xfId="0" applyFont="1" applyFill="1" applyBorder="1" applyAlignment="1" applyProtection="1">
      <alignment/>
      <protection/>
    </xf>
    <xf numFmtId="0" fontId="2" fillId="2" borderId="12" xfId="0" applyFont="1" applyFill="1" applyBorder="1" applyAlignment="1" applyProtection="1">
      <alignment horizontal="left"/>
      <protection/>
    </xf>
    <xf numFmtId="0" fontId="2" fillId="2" borderId="5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0" fontId="2" fillId="2" borderId="4" xfId="0" applyFont="1" applyFill="1" applyBorder="1" applyAlignment="1" applyProtection="1">
      <alignment horizontal="right"/>
      <protection/>
    </xf>
    <xf numFmtId="0" fontId="0" fillId="3" borderId="5" xfId="0" applyFill="1" applyBorder="1" applyAlignment="1" applyProtection="1">
      <alignment horizontal="center"/>
      <protection/>
    </xf>
    <xf numFmtId="0" fontId="0" fillId="3" borderId="14" xfId="0" applyFill="1" applyBorder="1" applyAlignment="1" applyProtection="1">
      <alignment horizontal="center"/>
      <protection/>
    </xf>
    <xf numFmtId="0" fontId="2" fillId="2" borderId="12" xfId="0" applyFont="1" applyFill="1" applyBorder="1" applyAlignment="1" applyProtection="1">
      <alignment/>
      <protection/>
    </xf>
    <xf numFmtId="0" fontId="2" fillId="2" borderId="7" xfId="0" applyFont="1" applyFill="1" applyBorder="1" applyAlignment="1" applyProtection="1">
      <alignment horizontal="center"/>
      <protection/>
    </xf>
    <xf numFmtId="0" fontId="16" fillId="2" borderId="0" xfId="0" applyFont="1" applyFill="1" applyAlignment="1">
      <alignment horizontal="center"/>
    </xf>
    <xf numFmtId="0" fontId="2" fillId="2" borderId="11" xfId="0" applyFont="1" applyFill="1" applyBorder="1" applyAlignment="1" applyProtection="1">
      <alignment horizontal="left"/>
      <protection/>
    </xf>
    <xf numFmtId="0" fontId="2" fillId="2" borderId="15" xfId="0" applyFont="1" applyFill="1" applyBorder="1" applyAlignment="1" applyProtection="1">
      <alignment horizontal="center"/>
      <protection/>
    </xf>
    <xf numFmtId="171" fontId="5" fillId="2" borderId="7" xfId="0" applyNumberFormat="1" applyFont="1" applyFill="1" applyBorder="1" applyAlignment="1" applyProtection="1">
      <alignment horizontal="center"/>
      <protection locked="0"/>
    </xf>
    <xf numFmtId="171" fontId="3" fillId="2" borderId="2" xfId="0" applyNumberFormat="1" applyFont="1" applyFill="1" applyBorder="1" applyAlignment="1" applyProtection="1">
      <alignment horizontal="center"/>
      <protection/>
    </xf>
    <xf numFmtId="0" fontId="2" fillId="3" borderId="15" xfId="0" applyFont="1" applyFill="1" applyBorder="1" applyAlignment="1" applyProtection="1">
      <alignment horizontal="left"/>
      <protection/>
    </xf>
    <xf numFmtId="0" fontId="2" fillId="3" borderId="13" xfId="0" applyFont="1" applyFill="1" applyBorder="1" applyAlignment="1" applyProtection="1">
      <alignment horizontal="left"/>
      <protection/>
    </xf>
    <xf numFmtId="0" fontId="2" fillId="3" borderId="0" xfId="0" applyFont="1" applyFill="1" applyBorder="1" applyAlignment="1" applyProtection="1">
      <alignment horizontal="left"/>
      <protection/>
    </xf>
    <xf numFmtId="0" fontId="2" fillId="3" borderId="12" xfId="0" applyFont="1" applyFill="1" applyBorder="1" applyAlignment="1" applyProtection="1">
      <alignment horizontal="left"/>
      <protection/>
    </xf>
    <xf numFmtId="2" fontId="0" fillId="3" borderId="13" xfId="0" applyNumberFormat="1" applyFill="1" applyBorder="1" applyAlignment="1" applyProtection="1">
      <alignment/>
      <protection/>
    </xf>
    <xf numFmtId="171" fontId="2" fillId="3" borderId="13" xfId="0" applyNumberFormat="1" applyFont="1" applyFill="1" applyBorder="1" applyAlignment="1" applyProtection="1">
      <alignment horizontal="center"/>
      <protection/>
    </xf>
    <xf numFmtId="2" fontId="0" fillId="3" borderId="0" xfId="0" applyNumberFormat="1" applyFill="1" applyBorder="1" applyAlignment="1" applyProtection="1">
      <alignment/>
      <protection/>
    </xf>
    <xf numFmtId="171" fontId="2" fillId="3" borderId="0" xfId="0" applyNumberFormat="1" applyFont="1" applyFill="1" applyBorder="1" applyAlignment="1" applyProtection="1">
      <alignment horizontal="center"/>
      <protection/>
    </xf>
    <xf numFmtId="2" fontId="0" fillId="3" borderId="12" xfId="0" applyNumberFormat="1" applyFill="1" applyBorder="1" applyAlignment="1" applyProtection="1">
      <alignment/>
      <protection/>
    </xf>
    <xf numFmtId="171" fontId="2" fillId="3" borderId="12" xfId="0" applyNumberFormat="1" applyFont="1" applyFill="1" applyBorder="1" applyAlignment="1" applyProtection="1">
      <alignment horizontal="center"/>
      <protection/>
    </xf>
    <xf numFmtId="2" fontId="5" fillId="2" borderId="7" xfId="0" applyNumberFormat="1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 applyProtection="1">
      <alignment horizontal="left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right"/>
      <protection/>
    </xf>
    <xf numFmtId="1" fontId="2" fillId="2" borderId="11" xfId="0" applyNumberFormat="1" applyFont="1" applyFill="1" applyBorder="1" applyAlignment="1" applyProtection="1">
      <alignment horizontal="right"/>
      <protection/>
    </xf>
    <xf numFmtId="171" fontId="2" fillId="2" borderId="15" xfId="0" applyNumberFormat="1" applyFont="1" applyFill="1" applyBorder="1" applyAlignment="1" applyProtection="1">
      <alignment horizontal="center"/>
      <protection/>
    </xf>
    <xf numFmtId="171" fontId="5" fillId="2" borderId="0" xfId="0" applyNumberFormat="1" applyFont="1" applyFill="1" applyBorder="1" applyAlignment="1" applyProtection="1">
      <alignment horizontal="center"/>
      <protection locked="0"/>
    </xf>
    <xf numFmtId="174" fontId="2" fillId="3" borderId="1" xfId="0" applyNumberFormat="1" applyFont="1" applyFill="1" applyBorder="1" applyAlignment="1" applyProtection="1">
      <alignment horizontal="left"/>
      <protection locked="0"/>
    </xf>
    <xf numFmtId="174" fontId="2" fillId="3" borderId="3" xfId="0" applyNumberFormat="1" applyFont="1" applyFill="1" applyBorder="1" applyAlignment="1" applyProtection="1">
      <alignment horizontal="left"/>
      <protection locked="0"/>
    </xf>
    <xf numFmtId="174" fontId="2" fillId="3" borderId="5" xfId="0" applyNumberFormat="1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/>
      <protection/>
    </xf>
    <xf numFmtId="0" fontId="2" fillId="2" borderId="11" xfId="0" applyFont="1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3" fillId="2" borderId="9" xfId="0" applyFont="1" applyFill="1" applyBorder="1" applyAlignment="1" applyProtection="1">
      <alignment horizontal="center"/>
      <protection/>
    </xf>
    <xf numFmtId="171" fontId="2" fillId="3" borderId="10" xfId="0" applyNumberFormat="1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right"/>
      <protection/>
    </xf>
    <xf numFmtId="0" fontId="17" fillId="2" borderId="6" xfId="0" applyFont="1" applyFill="1" applyBorder="1" applyAlignment="1" applyProtection="1">
      <alignment horizontal="right"/>
      <protection/>
    </xf>
    <xf numFmtId="0" fontId="2" fillId="2" borderId="40" xfId="0" applyFont="1" applyFill="1" applyBorder="1" applyAlignment="1" applyProtection="1">
      <alignment horizontal="centerContinuous"/>
      <protection/>
    </xf>
    <xf numFmtId="0" fontId="2" fillId="2" borderId="41" xfId="0" applyFont="1" applyFill="1" applyBorder="1" applyAlignment="1" applyProtection="1">
      <alignment horizontal="center"/>
      <protection/>
    </xf>
    <xf numFmtId="0" fontId="6" fillId="2" borderId="42" xfId="0" applyFont="1" applyFill="1" applyBorder="1" applyAlignment="1" applyProtection="1">
      <alignment horizontal="center"/>
      <protection/>
    </xf>
    <xf numFmtId="0" fontId="2" fillId="2" borderId="43" xfId="0" applyFont="1" applyFill="1" applyBorder="1" applyAlignment="1" applyProtection="1">
      <alignment horizontal="center"/>
      <protection/>
    </xf>
    <xf numFmtId="2" fontId="2" fillId="2" borderId="42" xfId="0" applyNumberFormat="1" applyFont="1" applyFill="1" applyBorder="1" applyAlignment="1" applyProtection="1">
      <alignment horizontal="center"/>
      <protection/>
    </xf>
    <xf numFmtId="2" fontId="2" fillId="2" borderId="44" xfId="0" applyNumberFormat="1" applyFont="1" applyFill="1" applyBorder="1" applyAlignment="1" applyProtection="1">
      <alignment horizontal="center"/>
      <protection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right"/>
    </xf>
    <xf numFmtId="0" fontId="17" fillId="2" borderId="1" xfId="0" applyFont="1" applyFill="1" applyBorder="1" applyAlignment="1" applyProtection="1">
      <alignment horizontal="right"/>
      <protection/>
    </xf>
    <xf numFmtId="0" fontId="11" fillId="2" borderId="0" xfId="0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1" fontId="2" fillId="2" borderId="6" xfId="0" applyNumberFormat="1" applyFont="1" applyFill="1" applyBorder="1" applyAlignment="1" applyProtection="1">
      <alignment horizontal="center"/>
      <protection/>
    </xf>
    <xf numFmtId="0" fontId="2" fillId="2" borderId="9" xfId="0" applyFont="1" applyFill="1" applyBorder="1" applyAlignment="1" applyProtection="1">
      <alignment horizontal="center"/>
      <protection/>
    </xf>
    <xf numFmtId="0" fontId="2" fillId="2" borderId="15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center"/>
      <protection/>
    </xf>
    <xf numFmtId="14" fontId="3" fillId="2" borderId="9" xfId="0" applyNumberFormat="1" applyFont="1" applyFill="1" applyBorder="1" applyAlignment="1" applyProtection="1">
      <alignment horizontal="center"/>
      <protection/>
    </xf>
    <xf numFmtId="14" fontId="3" fillId="2" borderId="11" xfId="0" applyNumberFormat="1" applyFont="1" applyFill="1" applyBorder="1" applyAlignment="1" applyProtection="1">
      <alignment horizontal="center"/>
      <protection/>
    </xf>
    <xf numFmtId="14" fontId="3" fillId="2" borderId="15" xfId="0" applyNumberFormat="1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18" fillId="2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Classificazione geomeccanica dell'ammasso roccioso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075"/>
          <c:w val="0.8965"/>
          <c:h val="0.8"/>
        </c:manualLayout>
      </c:layout>
      <c:scatterChart>
        <c:scatterStyle val="lineMarker"/>
        <c:varyColors val="0"/>
        <c:ser>
          <c:idx val="0"/>
          <c:order val="0"/>
          <c:tx>
            <c:v>GSI = 9 ln Q' + 44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'Q''_GSI'!$O$82:$O$88</c:f>
              <c:numCache/>
            </c:numRef>
          </c:xVal>
          <c:yVal>
            <c:numRef>
              <c:f>'Q''_GSI'!$P$82:$P$88</c:f>
              <c:numCache/>
            </c:numRef>
          </c:yVal>
          <c:smooth val="0"/>
        </c:ser>
        <c:ser>
          <c:idx val="1"/>
          <c:order val="1"/>
          <c:tx>
            <c:v>GSI = 10 ln Q' + 32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'Q''_GSI'!$O$82:$O$88</c:f>
              <c:numCache/>
            </c:numRef>
          </c:xVal>
          <c:yVal>
            <c:numRef>
              <c:f>'Q''_GSI'!$R$82:$R$88</c:f>
              <c:numCache/>
            </c:numRef>
          </c:yVal>
          <c:smooth val="0"/>
        </c:ser>
        <c:ser>
          <c:idx val="2"/>
          <c:order val="2"/>
          <c:tx>
            <c:v>RMR = 9 ln Q + 26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'Q''_GSI'!$O$82:$O$88</c:f>
              <c:numCache/>
            </c:numRef>
          </c:xVal>
          <c:yVal>
            <c:numRef>
              <c:f>'Q''_GSI'!$S$82:$S$88</c:f>
              <c:numCache/>
            </c:numRef>
          </c:yVal>
          <c:smooth val="0"/>
        </c:ser>
        <c:ser>
          <c:idx val="3"/>
          <c:order val="3"/>
          <c:tx>
            <c:v>BMR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'Q''_GSI'!$O$92</c:f>
              <c:numCache/>
            </c:numRef>
          </c:xVal>
          <c:yVal>
            <c:numRef>
              <c:f>'Q''_GSI'!$P$92</c:f>
              <c:numCache/>
            </c:numRef>
          </c:yVal>
          <c:smooth val="0"/>
        </c:ser>
        <c:axId val="51664829"/>
        <c:axId val="62330278"/>
      </c:scatterChart>
      <c:valAx>
        <c:axId val="51664829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Q'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crossAx val="62330278"/>
        <c:crossesAt val="0"/>
        <c:crossBetween val="midCat"/>
        <c:dispUnits/>
      </c:valAx>
      <c:valAx>
        <c:axId val="6233027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664829"/>
        <c:crossesAt val="0.001"/>
        <c:crossBetween val="midCat"/>
        <c:dispUnits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21"/>
          <c:y val="0.22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75"/>
          <c:y val="0.02275"/>
          <c:w val="0.7395"/>
          <c:h val="0.921"/>
        </c:manualLayout>
      </c:layout>
      <c:scatterChart>
        <c:scatterStyle val="lineMarker"/>
        <c:varyColors val="0"/>
        <c:ser>
          <c:idx val="0"/>
          <c:order val="0"/>
          <c:tx>
            <c:v>Hoek e Brown - picco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'Q''_GSI'!$A$149:$A$199</c:f>
              <c:numCach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0.7999999999999999</c:v>
                </c:pt>
                <c:pt idx="14">
                  <c:v>0.8999999999999999</c:v>
                </c:pt>
                <c:pt idx="15">
                  <c:v>0.9999999999999999</c:v>
                </c:pt>
                <c:pt idx="16">
                  <c:v>1.0999999999999999</c:v>
                </c:pt>
                <c:pt idx="17">
                  <c:v>1.2</c:v>
                </c:pt>
                <c:pt idx="18">
                  <c:v>1.3</c:v>
                </c:pt>
                <c:pt idx="19">
                  <c:v>1.4000000000000001</c:v>
                </c:pt>
                <c:pt idx="20">
                  <c:v>1.5000000000000002</c:v>
                </c:pt>
                <c:pt idx="21">
                  <c:v>1.6000000000000003</c:v>
                </c:pt>
                <c:pt idx="22">
                  <c:v>1.7000000000000004</c:v>
                </c:pt>
                <c:pt idx="23">
                  <c:v>1.8000000000000005</c:v>
                </c:pt>
                <c:pt idx="24">
                  <c:v>1.9000000000000006</c:v>
                </c:pt>
                <c:pt idx="25">
                  <c:v>2.0000000000000004</c:v>
                </c:pt>
                <c:pt idx="26">
                  <c:v>2.2000000000000006</c:v>
                </c:pt>
                <c:pt idx="27">
                  <c:v>2.400000000000001</c:v>
                </c:pt>
                <c:pt idx="28">
                  <c:v>2.600000000000001</c:v>
                </c:pt>
                <c:pt idx="29">
                  <c:v>2.800000000000001</c:v>
                </c:pt>
                <c:pt idx="30">
                  <c:v>3.0000000000000013</c:v>
                </c:pt>
                <c:pt idx="31">
                  <c:v>3.2000000000000015</c:v>
                </c:pt>
                <c:pt idx="32">
                  <c:v>3.4000000000000017</c:v>
                </c:pt>
                <c:pt idx="33">
                  <c:v>3.600000000000002</c:v>
                </c:pt>
                <c:pt idx="34">
                  <c:v>3.800000000000002</c:v>
                </c:pt>
                <c:pt idx="35">
                  <c:v>4.000000000000002</c:v>
                </c:pt>
                <c:pt idx="36">
                  <c:v>4.200000000000002</c:v>
                </c:pt>
                <c:pt idx="37">
                  <c:v>4.400000000000002</c:v>
                </c:pt>
                <c:pt idx="38">
                  <c:v>4.600000000000002</c:v>
                </c:pt>
                <c:pt idx="39">
                  <c:v>4.8000000000000025</c:v>
                </c:pt>
                <c:pt idx="40">
                  <c:v>5.000000000000003</c:v>
                </c:pt>
                <c:pt idx="41">
                  <c:v>5.500000000000003</c:v>
                </c:pt>
                <c:pt idx="42">
                  <c:v>6.000000000000003</c:v>
                </c:pt>
                <c:pt idx="43">
                  <c:v>6.500000000000003</c:v>
                </c:pt>
                <c:pt idx="44">
                  <c:v>7.000000000000003</c:v>
                </c:pt>
                <c:pt idx="45">
                  <c:v>7.500000000000003</c:v>
                </c:pt>
                <c:pt idx="46">
                  <c:v>8.000000000000004</c:v>
                </c:pt>
                <c:pt idx="47">
                  <c:v>8.500000000000004</c:v>
                </c:pt>
                <c:pt idx="48">
                  <c:v>9.000000000000004</c:v>
                </c:pt>
                <c:pt idx="49">
                  <c:v>9.500000000000004</c:v>
                </c:pt>
                <c:pt idx="50">
                  <c:v>10.000000000000004</c:v>
                </c:pt>
              </c:numCache>
            </c:numRef>
          </c:xVal>
          <c:yVal>
            <c:numRef>
              <c:f>'Q''_GSI'!$B$149:$B$199</c:f>
              <c:numCache>
                <c:ptCount val="51"/>
                <c:pt idx="0">
                  <c:v>1.19296652141202</c:v>
                </c:pt>
                <c:pt idx="1">
                  <c:v>1.7947450728673044</c:v>
                </c:pt>
                <c:pt idx="2">
                  <c:v>2.2674235351034517</c:v>
                </c:pt>
                <c:pt idx="3">
                  <c:v>2.6743844432546022</c:v>
                </c:pt>
                <c:pt idx="4">
                  <c:v>3.0395669016600984</c:v>
                </c:pt>
                <c:pt idx="5">
                  <c:v>3.3751296919980396</c:v>
                </c:pt>
                <c:pt idx="6">
                  <c:v>3.6882611255258464</c:v>
                </c:pt>
                <c:pt idx="7">
                  <c:v>3.9836326122580914</c:v>
                </c:pt>
                <c:pt idx="8">
                  <c:v>4.264484224183648</c:v>
                </c:pt>
                <c:pt idx="9">
                  <c:v>4.533173192254365</c:v>
                </c:pt>
                <c:pt idx="10">
                  <c:v>4.791478374808976</c:v>
                </c:pt>
                <c:pt idx="11">
                  <c:v>5.28218192149387</c:v>
                </c:pt>
                <c:pt idx="12">
                  <c:v>5.744682061400954</c:v>
                </c:pt>
                <c:pt idx="13">
                  <c:v>6.184436490110257</c:v>
                </c:pt>
                <c:pt idx="14">
                  <c:v>6.605335706476252</c:v>
                </c:pt>
                <c:pt idx="15">
                  <c:v>7.010269660762986</c:v>
                </c:pt>
                <c:pt idx="16">
                  <c:v>7.4014552231673765</c:v>
                </c:pt>
                <c:pt idx="17">
                  <c:v>7.780637430537084</c:v>
                </c:pt>
                <c:pt idx="18">
                  <c:v>8.14921934891242</c:v>
                </c:pt>
                <c:pt idx="19">
                  <c:v>8.508349270179792</c:v>
                </c:pt>
                <c:pt idx="20">
                  <c:v>8.858981226588247</c:v>
                </c:pt>
                <c:pt idx="21">
                  <c:v>9.201918176145744</c:v>
                </c:pt>
                <c:pt idx="22">
                  <c:v>9.53784356661843</c:v>
                </c:pt>
                <c:pt idx="23">
                  <c:v>9.867344888093347</c:v>
                </c:pt>
                <c:pt idx="24">
                  <c:v>10.190931568791543</c:v>
                </c:pt>
                <c:pt idx="25">
                  <c:v>10.509048791878577</c:v>
                </c:pt>
                <c:pt idx="26">
                  <c:v>11.130397056079094</c:v>
                </c:pt>
                <c:pt idx="27">
                  <c:v>11.734025644474798</c:v>
                </c:pt>
                <c:pt idx="28">
                  <c:v>12.322044327085464</c:v>
                </c:pt>
                <c:pt idx="29">
                  <c:v>12.896173168755672</c:v>
                </c:pt>
                <c:pt idx="30">
                  <c:v>13.457836579886518</c:v>
                </c:pt>
                <c:pt idx="31">
                  <c:v>14.008230029448304</c:v>
                </c:pt>
                <c:pt idx="32">
                  <c:v>14.548368551839728</c:v>
                </c:pt>
                <c:pt idx="33">
                  <c:v>15.07912277827347</c:v>
                </c:pt>
                <c:pt idx="34">
                  <c:v>15.601246205559736</c:v>
                </c:pt>
                <c:pt idx="35">
                  <c:v>16.1153961754506</c:v>
                </c:pt>
                <c:pt idx="36">
                  <c:v>16.622150252522587</c:v>
                </c:pt>
                <c:pt idx="37">
                  <c:v>17.122019177770472</c:v>
                </c:pt>
                <c:pt idx="38">
                  <c:v>17.615457234788696</c:v>
                </c:pt>
                <c:pt idx="39">
                  <c:v>18.102870633847374</c:v>
                </c:pt>
                <c:pt idx="40">
                  <c:v>18.58462435854906</c:v>
                </c:pt>
                <c:pt idx="41">
                  <c:v>19.76633419723368</c:v>
                </c:pt>
                <c:pt idx="42">
                  <c:v>20.919023329439007</c:v>
                </c:pt>
                <c:pt idx="43">
                  <c:v>22.046186068041468</c:v>
                </c:pt>
                <c:pt idx="44">
                  <c:v>23.1506645282662</c:v>
                </c:pt>
                <c:pt idx="45">
                  <c:v>24.2348075600543</c:v>
                </c:pt>
                <c:pt idx="46">
                  <c:v>25.300583062844282</c:v>
                </c:pt>
                <c:pt idx="47">
                  <c:v>26.34965938757727</c:v>
                </c:pt>
                <c:pt idx="48">
                  <c:v>27.383465634580638</c:v>
                </c:pt>
                <c:pt idx="49">
                  <c:v>28.40323717598469</c:v>
                </c:pt>
                <c:pt idx="50">
                  <c:v>29.410050602970898</c:v>
                </c:pt>
              </c:numCache>
            </c:numRef>
          </c:yVal>
          <c:smooth val="1"/>
        </c:ser>
        <c:ser>
          <c:idx val="1"/>
          <c:order val="1"/>
          <c:tx>
            <c:v>Hoek e Brown - residuo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'Q''_GSI'!$A$149:$A$199</c:f>
              <c:numCach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0.7999999999999999</c:v>
                </c:pt>
                <c:pt idx="14">
                  <c:v>0.8999999999999999</c:v>
                </c:pt>
                <c:pt idx="15">
                  <c:v>0.9999999999999999</c:v>
                </c:pt>
                <c:pt idx="16">
                  <c:v>1.0999999999999999</c:v>
                </c:pt>
                <c:pt idx="17">
                  <c:v>1.2</c:v>
                </c:pt>
                <c:pt idx="18">
                  <c:v>1.3</c:v>
                </c:pt>
                <c:pt idx="19">
                  <c:v>1.4000000000000001</c:v>
                </c:pt>
                <c:pt idx="20">
                  <c:v>1.5000000000000002</c:v>
                </c:pt>
                <c:pt idx="21">
                  <c:v>1.6000000000000003</c:v>
                </c:pt>
                <c:pt idx="22">
                  <c:v>1.7000000000000004</c:v>
                </c:pt>
                <c:pt idx="23">
                  <c:v>1.8000000000000005</c:v>
                </c:pt>
                <c:pt idx="24">
                  <c:v>1.9000000000000006</c:v>
                </c:pt>
                <c:pt idx="25">
                  <c:v>2.0000000000000004</c:v>
                </c:pt>
                <c:pt idx="26">
                  <c:v>2.2000000000000006</c:v>
                </c:pt>
                <c:pt idx="27">
                  <c:v>2.400000000000001</c:v>
                </c:pt>
                <c:pt idx="28">
                  <c:v>2.600000000000001</c:v>
                </c:pt>
                <c:pt idx="29">
                  <c:v>2.800000000000001</c:v>
                </c:pt>
                <c:pt idx="30">
                  <c:v>3.0000000000000013</c:v>
                </c:pt>
                <c:pt idx="31">
                  <c:v>3.2000000000000015</c:v>
                </c:pt>
                <c:pt idx="32">
                  <c:v>3.4000000000000017</c:v>
                </c:pt>
                <c:pt idx="33">
                  <c:v>3.600000000000002</c:v>
                </c:pt>
                <c:pt idx="34">
                  <c:v>3.800000000000002</c:v>
                </c:pt>
                <c:pt idx="35">
                  <c:v>4.000000000000002</c:v>
                </c:pt>
                <c:pt idx="36">
                  <c:v>4.200000000000002</c:v>
                </c:pt>
                <c:pt idx="37">
                  <c:v>4.400000000000002</c:v>
                </c:pt>
                <c:pt idx="38">
                  <c:v>4.600000000000002</c:v>
                </c:pt>
                <c:pt idx="39">
                  <c:v>4.8000000000000025</c:v>
                </c:pt>
                <c:pt idx="40">
                  <c:v>5.000000000000003</c:v>
                </c:pt>
                <c:pt idx="41">
                  <c:v>5.500000000000003</c:v>
                </c:pt>
                <c:pt idx="42">
                  <c:v>6.000000000000003</c:v>
                </c:pt>
                <c:pt idx="43">
                  <c:v>6.500000000000003</c:v>
                </c:pt>
                <c:pt idx="44">
                  <c:v>7.000000000000003</c:v>
                </c:pt>
                <c:pt idx="45">
                  <c:v>7.500000000000003</c:v>
                </c:pt>
                <c:pt idx="46">
                  <c:v>8.000000000000004</c:v>
                </c:pt>
                <c:pt idx="47">
                  <c:v>8.500000000000004</c:v>
                </c:pt>
                <c:pt idx="48">
                  <c:v>9.000000000000004</c:v>
                </c:pt>
                <c:pt idx="49">
                  <c:v>9.500000000000004</c:v>
                </c:pt>
                <c:pt idx="50">
                  <c:v>10.000000000000004</c:v>
                </c:pt>
              </c:numCache>
            </c:numRef>
          </c:xVal>
          <c:yVal>
            <c:numRef>
              <c:f>'Q''_GSI'!$C$149:$C$199</c:f>
              <c:numCache>
                <c:ptCount val="51"/>
                <c:pt idx="0">
                  <c:v>0.972277044739981</c:v>
                </c:pt>
                <c:pt idx="1">
                  <c:v>1.5716309489561946</c:v>
                </c:pt>
                <c:pt idx="2">
                  <c:v>2.029606293559416</c:v>
                </c:pt>
                <c:pt idx="3">
                  <c:v>2.4204892478855364</c:v>
                </c:pt>
                <c:pt idx="4">
                  <c:v>2.7698830021845025</c:v>
                </c:pt>
                <c:pt idx="5">
                  <c:v>3.090302283788721</c:v>
                </c:pt>
                <c:pt idx="6">
                  <c:v>3.3889862761491814</c:v>
                </c:pt>
                <c:pt idx="7">
                  <c:v>3.670573220795519</c:v>
                </c:pt>
                <c:pt idx="8">
                  <c:v>3.9382482485925654</c:v>
                </c:pt>
                <c:pt idx="9">
                  <c:v>4.194311533779218</c:v>
                </c:pt>
                <c:pt idx="10">
                  <c:v>4.440489006819899</c:v>
                </c:pt>
                <c:pt idx="11">
                  <c:v>4.9082481560591855</c:v>
                </c:pt>
                <c:pt idx="12">
                  <c:v>5.34930140355386</c:v>
                </c:pt>
                <c:pt idx="13">
                  <c:v>5.768867996172684</c:v>
                </c:pt>
                <c:pt idx="14">
                  <c:v>6.17065404008226</c:v>
                </c:pt>
                <c:pt idx="15">
                  <c:v>6.557404499099286</c:v>
                </c:pt>
                <c:pt idx="16">
                  <c:v>6.931220269207337</c:v>
                </c:pt>
                <c:pt idx="17">
                  <c:v>7.293752127279848</c:v>
                </c:pt>
                <c:pt idx="18">
                  <c:v>7.646325419038201</c:v>
                </c:pt>
                <c:pt idx="19">
                  <c:v>7.9900235279043414</c:v>
                </c:pt>
                <c:pt idx="20">
                  <c:v>8.325745657177237</c:v>
                </c:pt>
                <c:pt idx="21">
                  <c:v>8.65424797856558</c:v>
                </c:pt>
                <c:pt idx="22">
                  <c:v>8.976173653435298</c:v>
                </c:pt>
                <c:pt idx="23">
                  <c:v>9.292075199565199</c:v>
                </c:pt>
                <c:pt idx="24">
                  <c:v>9.602431463136204</c:v>
                </c:pt>
                <c:pt idx="25">
                  <c:v>9.907660706882753</c:v>
                </c:pt>
                <c:pt idx="26">
                  <c:v>10.504167577340171</c:v>
                </c:pt>
                <c:pt idx="27">
                  <c:v>11.084070177693695</c:v>
                </c:pt>
                <c:pt idx="28">
                  <c:v>11.649347800627796</c:v>
                </c:pt>
                <c:pt idx="29">
                  <c:v>12.201613401211024</c:v>
                </c:pt>
                <c:pt idx="30">
                  <c:v>12.74220220555874</c:v>
                </c:pt>
                <c:pt idx="31">
                  <c:v>13.272234504923913</c:v>
                </c:pt>
                <c:pt idx="32">
                  <c:v>13.792661277452682</c:v>
                </c:pt>
                <c:pt idx="33">
                  <c:v>14.304298054112829</c:v>
                </c:pt>
                <c:pt idx="34">
                  <c:v>14.807850534218918</c:v>
                </c:pt>
                <c:pt idx="35">
                  <c:v>15.303934283306939</c:v>
                </c:pt>
                <c:pt idx="36">
                  <c:v>15.793090104187634</c:v>
                </c:pt>
                <c:pt idx="37">
                  <c:v>16.275796189800783</c:v>
                </c:pt>
                <c:pt idx="38">
                  <c:v>16.75247784551337</c:v>
                </c:pt>
                <c:pt idx="39">
                  <c:v>17.22351535023879</c:v>
                </c:pt>
                <c:pt idx="40">
                  <c:v>17.689250374459828</c:v>
                </c:pt>
                <c:pt idx="41">
                  <c:v>18.832342833568582</c:v>
                </c:pt>
                <c:pt idx="42">
                  <c:v>19.94824100667133</c:v>
                </c:pt>
                <c:pt idx="43">
                  <c:v>21.040215788984245</c:v>
                </c:pt>
                <c:pt idx="44">
                  <c:v>22.11092762621868</c:v>
                </c:pt>
                <c:pt idx="45">
                  <c:v>23.162575316365114</c:v>
                </c:pt>
                <c:pt idx="46">
                  <c:v>24.197001145374546</c:v>
                </c:pt>
                <c:pt idx="47">
                  <c:v>25.215767075219834</c:v>
                </c:pt>
                <c:pt idx="48">
                  <c:v>26.22021117373159</c:v>
                </c:pt>
                <c:pt idx="49">
                  <c:v>27.211490213623435</c:v>
                </c:pt>
                <c:pt idx="50">
                  <c:v>28.190612373793982</c:v>
                </c:pt>
              </c:numCache>
            </c:numRef>
          </c:yVal>
          <c:smooth val="1"/>
        </c:ser>
        <c:axId val="24101591"/>
        <c:axId val="15587728"/>
      </c:scatterChart>
      <c:valAx>
        <c:axId val="24101591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</a:t>
                </a:r>
                <a:r>
                  <a:rPr lang="en-US" cap="none" sz="1000" b="0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  [MPa]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crossAx val="15587728"/>
        <c:crossesAt val="0"/>
        <c:crossBetween val="midCat"/>
        <c:dispUnits/>
        <c:majorUnit val="5"/>
        <c:minorUnit val="1"/>
      </c:valAx>
      <c:valAx>
        <c:axId val="15587728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</a:t>
                </a:r>
                <a:r>
                  <a:rPr lang="en-US" cap="none" sz="1000" b="0" i="0" u="none" baseline="-25000"/>
                  <a:t>1</a:t>
                </a:r>
                <a:r>
                  <a:rPr lang="en-US" cap="none" sz="1000" b="0" i="0" u="none" baseline="0"/>
                  <a:t> 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[MPa]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crossAx val="24101591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55"/>
          <c:w val="0.85875"/>
          <c:h val="0.912"/>
        </c:manualLayout>
      </c:layout>
      <c:scatterChart>
        <c:scatterStyle val="smooth"/>
        <c:varyColors val="0"/>
        <c:ser>
          <c:idx val="0"/>
          <c:order val="0"/>
          <c:tx>
            <c:v>condizioni di picco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'Q''_GSI'!$D$148:$D$199</c:f>
              <c:numCache>
                <c:ptCount val="52"/>
                <c:pt idx="0">
                  <c:v>8.71788586827571E-05</c:v>
                </c:pt>
                <c:pt idx="1">
                  <c:v>0.07754197878732993</c:v>
                </c:pt>
                <c:pt idx="2">
                  <c:v>0.20304388193888379</c:v>
                </c:pt>
                <c:pt idx="3">
                  <c:v>0.3238227934622411</c:v>
                </c:pt>
                <c:pt idx="4">
                  <c:v>0.4412167743008166</c:v>
                </c:pt>
                <c:pt idx="5">
                  <c:v>0.5559432154237014</c:v>
                </c:pt>
                <c:pt idx="6">
                  <c:v>0.6684598030172255</c:v>
                </c:pt>
                <c:pt idx="7">
                  <c:v>0.7790871969784494</c:v>
                </c:pt>
                <c:pt idx="8">
                  <c:v>0.8880638790610496</c:v>
                </c:pt>
                <c:pt idx="9">
                  <c:v>0.9955747735664311</c:v>
                </c:pt>
                <c:pt idx="10">
                  <c:v>1.10176778373423</c:v>
                </c:pt>
                <c:pt idx="11">
                  <c:v>1.2067640693534938</c:v>
                </c:pt>
                <c:pt idx="12">
                  <c:v>1.4135557665215464</c:v>
                </c:pt>
                <c:pt idx="13">
                  <c:v>1.616593654300488</c:v>
                </c:pt>
                <c:pt idx="14">
                  <c:v>1.816361791718366</c:v>
                </c:pt>
                <c:pt idx="15">
                  <c:v>2.013237748908267</c:v>
                </c:pt>
                <c:pt idx="16">
                  <c:v>2.207524381376586</c:v>
                </c:pt>
                <c:pt idx="17">
                  <c:v>2.3994700289477655</c:v>
                </c:pt>
                <c:pt idx="18">
                  <c:v>2.5892819985236275</c:v>
                </c:pt>
                <c:pt idx="19">
                  <c:v>2.777135921279944</c:v>
                </c:pt>
                <c:pt idx="20">
                  <c:v>2.963182456922977</c:v>
                </c:pt>
                <c:pt idx="21">
                  <c:v>3.147552226550045</c:v>
                </c:pt>
                <c:pt idx="22">
                  <c:v>3.330359524851358</c:v>
                </c:pt>
                <c:pt idx="23">
                  <c:v>3.5117051683022416</c:v>
                </c:pt>
                <c:pt idx="24">
                  <c:v>3.6916787174948933</c:v>
                </c:pt>
                <c:pt idx="25">
                  <c:v>3.870360236900059</c:v>
                </c:pt>
                <c:pt idx="26">
                  <c:v>4.047821706641246</c:v>
                </c:pt>
                <c:pt idx="27">
                  <c:v>4.399338664884858</c:v>
                </c:pt>
                <c:pt idx="28">
                  <c:v>4.74668248014714</c:v>
                </c:pt>
                <c:pt idx="29">
                  <c:v>5.090232073988349</c:v>
                </c:pt>
                <c:pt idx="30">
                  <c:v>5.430308843895655</c:v>
                </c:pt>
                <c:pt idx="31">
                  <c:v>5.767188589808022</c:v>
                </c:pt>
                <c:pt idx="32">
                  <c:v>6.101110374488897</c:v>
                </c:pt>
                <c:pt idx="33">
                  <c:v>6.432283242336565</c:v>
                </c:pt>
                <c:pt idx="34">
                  <c:v>6.760891405623549</c:v>
                </c:pt>
                <c:pt idx="35">
                  <c:v>7.087098310560574</c:v>
                </c:pt>
                <c:pt idx="36">
                  <c:v>7.411049869282028</c:v>
                </c:pt>
                <c:pt idx="37">
                  <c:v>7.732877060497049</c:v>
                </c:pt>
                <c:pt idx="38">
                  <c:v>8.052698045218516</c:v>
                </c:pt>
                <c:pt idx="39">
                  <c:v>8.370619905099222</c:v>
                </c:pt>
                <c:pt idx="40">
                  <c:v>8.686740083553854</c:v>
                </c:pt>
                <c:pt idx="41">
                  <c:v>9.001147590276494</c:v>
                </c:pt>
                <c:pt idx="42">
                  <c:v>9.78019289494793</c:v>
                </c:pt>
                <c:pt idx="43">
                  <c:v>10.550135827550104</c:v>
                </c:pt>
                <c:pt idx="44">
                  <c:v>11.31189154691936</c:v>
                </c:pt>
                <c:pt idx="45">
                  <c:v>12.066226162554871</c:v>
                </c:pt>
                <c:pt idx="46">
                  <c:v>12.813789305626969</c:v>
                </c:pt>
                <c:pt idx="47">
                  <c:v>13.555137971639866</c:v>
                </c:pt>
                <c:pt idx="48">
                  <c:v>14.290754357818427</c:v>
                </c:pt>
                <c:pt idx="49">
                  <c:v>15.021059461758387</c:v>
                </c:pt>
                <c:pt idx="50">
                  <c:v>15.74642362105038</c:v>
                </c:pt>
                <c:pt idx="51">
                  <c:v>16.467174801836443</c:v>
                </c:pt>
              </c:numCache>
            </c:numRef>
          </c:xVal>
          <c:yVal>
            <c:numRef>
              <c:f>'Q''_GSI'!$E$148:$E$199</c:f>
              <c:numCache>
                <c:ptCount val="52"/>
                <c:pt idx="0">
                  <c:v>0.1412505115785593</c:v>
                </c:pt>
                <c:pt idx="1">
                  <c:v>0.29409560728285433</c:v>
                </c:pt>
                <c:pt idx="2">
                  <c:v>0.4935586380020411</c:v>
                </c:pt>
                <c:pt idx="3">
                  <c:v>0.6595620875773704</c:v>
                </c:pt>
                <c:pt idx="4">
                  <c:v>0.8064340549763482</c:v>
                </c:pt>
                <c:pt idx="5">
                  <c:v>0.940228164214117</c:v>
                </c:pt>
                <c:pt idx="6">
                  <c:v>1.0642521076209186</c:v>
                </c:pt>
                <c:pt idx="7">
                  <c:v>1.18057104104351</c:v>
                </c:pt>
                <c:pt idx="8">
                  <c:v>1.2905865800031007</c:v>
                </c:pt>
                <c:pt idx="9">
                  <c:v>1.3953064200599505</c:v>
                </c:pt>
                <c:pt idx="10">
                  <c:v>1.4954863751317886</c:v>
                </c:pt>
                <c:pt idx="11">
                  <c:v>1.5917120562442821</c:v>
                </c:pt>
                <c:pt idx="12">
                  <c:v>1.7740752850129593</c:v>
                </c:pt>
                <c:pt idx="13">
                  <c:v>1.9451939847582542</c:v>
                </c:pt>
                <c:pt idx="14">
                  <c:v>2.107022597604792</c:v>
                </c:pt>
                <c:pt idx="15">
                  <c:v>2.260994646842233</c:v>
                </c:pt>
                <c:pt idx="16">
                  <c:v>2.4082009929406607</c:v>
                </c:pt>
                <c:pt idx="17">
                  <c:v>2.5494959982570786</c:v>
                </c:pt>
                <c:pt idx="18">
                  <c:v>2.685564493664999</c:v>
                </c:pt>
                <c:pt idx="19">
                  <c:v>2.81696599252966</c:v>
                </c:pt>
                <c:pt idx="20">
                  <c:v>2.944164989125871</c:v>
                </c:pt>
                <c:pt idx="21">
                  <c:v>3.0675523737656767</c:v>
                </c:pt>
                <c:pt idx="22">
                  <c:v>3.187460970426248</c:v>
                </c:pt>
                <c:pt idx="23">
                  <c:v>3.3041770656449434</c:v>
                </c:pt>
                <c:pt idx="24">
                  <c:v>3.417949130878673</c:v>
                </c:pt>
                <c:pt idx="25">
                  <c:v>3.5289945348285006</c:v>
                </c:pt>
                <c:pt idx="26">
                  <c:v>3.6375047871703687</c:v>
                </c:pt>
                <c:pt idx="27">
                  <c:v>3.8475806652169284</c:v>
                </c:pt>
                <c:pt idx="28">
                  <c:v>4.0493302886407765</c:v>
                </c:pt>
                <c:pt idx="29">
                  <c:v>4.243688351625786</c:v>
                </c:pt>
                <c:pt idx="30">
                  <c:v>4.431425161390448</c:v>
                </c:pt>
                <c:pt idx="31">
                  <c:v>4.613184731438272</c:v>
                </c:pt>
                <c:pt idx="32">
                  <c:v>4.789512173836474</c:v>
                </c:pt>
                <c:pt idx="33">
                  <c:v>4.9608738622726944</c:v>
                </c:pt>
                <c:pt idx="34">
                  <c:v>5.127672576890737</c:v>
                </c:pt>
                <c:pt idx="35">
                  <c:v>5.2902590826456315</c:v>
                </c:pt>
                <c:pt idx="36">
                  <c:v>5.4489411200564275</c:v>
                </c:pt>
                <c:pt idx="37">
                  <c:v>5.603990483985352</c:v>
                </c:pt>
                <c:pt idx="38">
                  <c:v>5.75564866651288</c:v>
                </c:pt>
                <c:pt idx="39">
                  <c:v>5.90413140561179</c:v>
                </c:pt>
                <c:pt idx="40">
                  <c:v>6.04963238898049</c:v>
                </c:pt>
                <c:pt idx="41">
                  <c:v>6.192326297753092</c:v>
                </c:pt>
                <c:pt idx="42">
                  <c:v>6.53778334376335</c:v>
                </c:pt>
                <c:pt idx="43">
                  <c:v>6.868758731690986</c:v>
                </c:pt>
                <c:pt idx="44">
                  <c:v>7.186950748984596</c:v>
                </c:pt>
                <c:pt idx="45">
                  <c:v>7.493748837904407</c:v>
                </c:pt>
                <c:pt idx="46">
                  <c:v>7.790307096626313</c:v>
                </c:pt>
                <c:pt idx="47">
                  <c:v>8.077596673513767</c:v>
                </c:pt>
                <c:pt idx="48">
                  <c:v>8.356444031500152</c:v>
                </c:pt>
                <c:pt idx="49">
                  <c:v>8.627559484406447</c:v>
                </c:pt>
                <c:pt idx="50">
                  <c:v>8.891558871017626</c:v>
                </c:pt>
                <c:pt idx="51">
                  <c:v>9.148980284403033</c:v>
                </c:pt>
              </c:numCache>
            </c:numRef>
          </c:yVal>
          <c:smooth val="1"/>
        </c:ser>
        <c:ser>
          <c:idx val="1"/>
          <c:order val="1"/>
          <c:tx>
            <c:v>condizioni post-rottura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'Q''_GSI'!$F$148:$F$199</c:f>
              <c:numCache>
                <c:ptCount val="52"/>
                <c:pt idx="0">
                  <c:v>-6.581538714045543E-05</c:v>
                </c:pt>
                <c:pt idx="1">
                  <c:v>0.06159340937598018</c:v>
                </c:pt>
                <c:pt idx="2">
                  <c:v>0.18643718455920244</c:v>
                </c:pt>
                <c:pt idx="3">
                  <c:v>0.3060294837073595</c:v>
                </c:pt>
                <c:pt idx="4">
                  <c:v>0.4219939812971112</c:v>
                </c:pt>
                <c:pt idx="5">
                  <c:v>0.5351512963342091</c:v>
                </c:pt>
                <c:pt idx="6">
                  <c:v>0.6460100192582765</c:v>
                </c:pt>
                <c:pt idx="7">
                  <c:v>0.7549200337343864</c:v>
                </c:pt>
                <c:pt idx="8">
                  <c:v>0.862138219997248</c:v>
                </c:pt>
                <c:pt idx="9">
                  <c:v>0.9678618289806591</c:v>
                </c:pt>
                <c:pt idx="10">
                  <c:v>1.0722474003273685</c:v>
                </c:pt>
                <c:pt idx="11">
                  <c:v>1.1754223513035458</c:v>
                </c:pt>
                <c:pt idx="12">
                  <c:v>1.3785471822201387</c:v>
                </c:pt>
                <c:pt idx="13">
                  <c:v>1.5779056615817637</c:v>
                </c:pt>
                <c:pt idx="14">
                  <c:v>1.7739973500618036</c:v>
                </c:pt>
                <c:pt idx="15">
                  <c:v>1.9672096126995477</c:v>
                </c:pt>
                <c:pt idx="16">
                  <c:v>2.1578516470950797</c:v>
                </c:pt>
                <c:pt idx="17">
                  <c:v>2.3461759456585862</c:v>
                </c:pt>
                <c:pt idx="18">
                  <c:v>2.532392528951023</c:v>
                </c:pt>
                <c:pt idx="19">
                  <c:v>2.716678769705098</c:v>
                </c:pt>
                <c:pt idx="20">
                  <c:v>2.8991863982924277</c:v>
                </c:pt>
                <c:pt idx="21">
                  <c:v>3.0800466358641545</c:v>
                </c:pt>
                <c:pt idx="22">
                  <c:v>3.2593740430783553</c:v>
                </c:pt>
                <c:pt idx="23">
                  <c:v>3.437269463313645</c:v>
                </c:pt>
                <c:pt idx="24">
                  <c:v>3.6138223123004547</c:v>
                </c:pt>
                <c:pt idx="25">
                  <c:v>3.789112386252791</c:v>
                </c:pt>
                <c:pt idx="26">
                  <c:v>3.9632113088372654</c:v>
                </c:pt>
                <c:pt idx="27">
                  <c:v>4.3080881493544005</c:v>
                </c:pt>
                <c:pt idx="28">
                  <c:v>4.648901935861032</c:v>
                </c:pt>
                <c:pt idx="29">
                  <c:v>4.986027492384547</c:v>
                </c:pt>
                <c:pt idx="30">
                  <c:v>5.319782042635259</c:v>
                </c:pt>
                <c:pt idx="31">
                  <c:v>5.650437269242674</c:v>
                </c:pt>
                <c:pt idx="32">
                  <c:v>5.978228247595414</c:v>
                </c:pt>
                <c:pt idx="33">
                  <c:v>6.303360203249018</c:v>
                </c:pt>
                <c:pt idx="34">
                  <c:v>6.626013715997877</c:v>
                </c:pt>
                <c:pt idx="35">
                  <c:v>6.946348791370304</c:v>
                </c:pt>
                <c:pt idx="36">
                  <c:v>7.264508090697797</c:v>
                </c:pt>
                <c:pt idx="37">
                  <c:v>7.580619525600122</c:v>
                </c:pt>
                <c:pt idx="38">
                  <c:v>7.89479836521385</c:v>
                </c:pt>
                <c:pt idx="39">
                  <c:v>8.207148964882347</c:v>
                </c:pt>
                <c:pt idx="40">
                  <c:v>8.517766197221263</c:v>
                </c:pt>
                <c:pt idx="41">
                  <c:v>8.82673664661882</c:v>
                </c:pt>
                <c:pt idx="42">
                  <c:v>9.59246285567998</c:v>
                </c:pt>
                <c:pt idx="43">
                  <c:v>10.34945204554007</c:v>
                </c:pt>
                <c:pt idx="44">
                  <c:v>11.098591039295119</c:v>
                </c:pt>
                <c:pt idx="45">
                  <c:v>11.840621089177432</c:v>
                </c:pt>
                <c:pt idx="46">
                  <c:v>12.576169894043856</c:v>
                </c:pt>
                <c:pt idx="47">
                  <c:v>13.305774989900307</c:v>
                </c:pt>
                <c:pt idx="48">
                  <c:v>14.029901217553835</c:v>
                </c:pt>
                <c:pt idx="49">
                  <c:v>14.748954017721243</c:v>
                </c:pt>
                <c:pt idx="50">
                  <c:v>15.463289720131872</c:v>
                </c:pt>
                <c:pt idx="51">
                  <c:v>16.173223624101045</c:v>
                </c:pt>
              </c:numCache>
            </c:numRef>
          </c:xVal>
          <c:yVal>
            <c:numRef>
              <c:f>'Q''_GSI'!$G$148:$G$199</c:f>
              <c:numCache>
                <c:ptCount val="52"/>
                <c:pt idx="0">
                  <c:v>0.11337570448814496</c:v>
                </c:pt>
                <c:pt idx="1">
                  <c:v>0.23683772918388812</c:v>
                </c:pt>
                <c:pt idx="2">
                  <c:v>0.4347320292815895</c:v>
                </c:pt>
                <c:pt idx="3">
                  <c:v>0.5959090872472049</c:v>
                </c:pt>
                <c:pt idx="4">
                  <c:v>0.7372778880197189</c:v>
                </c:pt>
                <c:pt idx="5">
                  <c:v>0.8654323937633049</c:v>
                </c:pt>
                <c:pt idx="6">
                  <c:v>0.9838517300638129</c:v>
                </c:pt>
                <c:pt idx="7">
                  <c:v>1.0946641054944424</c:v>
                </c:pt>
                <c:pt idx="8">
                  <c:v>1.1992943351349563</c:v>
                </c:pt>
                <c:pt idx="9">
                  <c:v>1.2987567382000869</c:v>
                </c:pt>
                <c:pt idx="10">
                  <c:v>1.3938064035925977</c:v>
                </c:pt>
                <c:pt idx="11">
                  <c:v>1.4850249148184884</c:v>
                </c:pt>
                <c:pt idx="12">
                  <c:v>1.6577209497566443</c:v>
                </c:pt>
                <c:pt idx="13">
                  <c:v>1.819596019434715</c:v>
                </c:pt>
                <c:pt idx="14">
                  <c:v>1.9725601190208841</c:v>
                </c:pt>
                <c:pt idx="15">
                  <c:v>2.118007624951142</c:v>
                </c:pt>
                <c:pt idx="16">
                  <c:v>2.256995683685489</c:v>
                </c:pt>
                <c:pt idx="17">
                  <c:v>2.3903497538613254</c:v>
                </c:pt>
                <c:pt idx="18">
                  <c:v>2.518729829986251</c:v>
                </c:pt>
                <c:pt idx="19">
                  <c:v>2.642673977292333</c:v>
                </c:pt>
                <c:pt idx="20">
                  <c:v>2.7626280568755983</c:v>
                </c:pt>
                <c:pt idx="21">
                  <c:v>2.8789666707660277</c:v>
                </c:pt>
                <c:pt idx="22">
                  <c:v>2.992008317874046</c:v>
                </c:pt>
                <c:pt idx="23">
                  <c:v>3.102026613315615</c:v>
                </c:pt>
                <c:pt idx="24">
                  <c:v>3.209258758935662</c:v>
                </c:pt>
                <c:pt idx="25">
                  <c:v>3.313912049735191</c:v>
                </c:pt>
                <c:pt idx="26">
                  <c:v>3.416168948259698</c:v>
                </c:pt>
                <c:pt idx="27">
                  <c:v>3.6141225234620076</c:v>
                </c:pt>
                <c:pt idx="28">
                  <c:v>3.8042163866753045</c:v>
                </c:pt>
                <c:pt idx="29">
                  <c:v>3.987338140418073</c:v>
                </c:pt>
                <c:pt idx="30">
                  <c:v>4.164218423399933</c:v>
                </c:pt>
                <c:pt idx="31">
                  <c:v>4.335467459446615</c:v>
                </c:pt>
                <c:pt idx="32">
                  <c:v>4.501601295344551</c:v>
                </c:pt>
                <c:pt idx="33">
                  <c:v>4.663061085702506</c:v>
                </c:pt>
                <c:pt idx="34">
                  <c:v>4.820227559199619</c:v>
                </c:pt>
                <c:pt idx="35">
                  <c:v>4.97343206518067</c:v>
                </c:pt>
                <c:pt idx="36">
                  <c:v>5.122965142409258</c:v>
                </c:pt>
                <c:pt idx="37">
                  <c:v>5.269083259105842</c:v>
                </c:pt>
                <c:pt idx="38">
                  <c:v>5.412014181081496</c:v>
                </c:pt>
                <c:pt idx="39">
                  <c:v>5.55196129546554</c:v>
                </c:pt>
                <c:pt idx="40">
                  <c:v>5.689107128766005</c:v>
                </c:pt>
                <c:pt idx="41">
                  <c:v>5.823616235938932</c:v>
                </c:pt>
                <c:pt idx="42">
                  <c:v>6.149297976228686</c:v>
                </c:pt>
                <c:pt idx="43">
                  <c:v>6.461383155462906</c:v>
                </c:pt>
                <c:pt idx="44">
                  <c:v>6.761469255269521</c:v>
                </c:pt>
                <c:pt idx="45">
                  <c:v>7.050862529897932</c:v>
                </c:pt>
                <c:pt idx="46">
                  <c:v>7.330647481016242</c:v>
                </c:pt>
                <c:pt idx="47">
                  <c:v>7.6017363375128495</c:v>
                </c:pt>
                <c:pt idx="48">
                  <c:v>7.864905163172728</c:v>
                </c:pt>
                <c:pt idx="49">
                  <c:v>8.120820766114667</c:v>
                </c:pt>
                <c:pt idx="50">
                  <c:v>8.37006112479989</c:v>
                </c:pt>
                <c:pt idx="51">
                  <c:v>8.613131145501647</c:v>
                </c:pt>
              </c:numCache>
            </c:numRef>
          </c:yVal>
          <c:smooth val="1"/>
        </c:ser>
        <c:axId val="6071825"/>
        <c:axId val="54646426"/>
      </c:scatterChart>
      <c:valAx>
        <c:axId val="6071825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 [MPa]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crossAx val="54646426"/>
        <c:crossesAt val="0"/>
        <c:crossBetween val="midCat"/>
        <c:dispUnits/>
        <c:majorUnit val="2"/>
        <c:minorUnit val="0.4"/>
      </c:valAx>
      <c:valAx>
        <c:axId val="5464642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 [MPa]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crossAx val="6071825"/>
        <c:crossesAt val="0"/>
        <c:crossBetween val="midCat"/>
        <c:dispUnits/>
        <c:majorUnit val="2"/>
        <c:minorUnit val="0.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425"/>
          <c:y val="0.75"/>
          <c:w val="0.23575"/>
          <c:h val="0.084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75"/>
          <c:y val="0.02275"/>
          <c:w val="0.7395"/>
          <c:h val="0.921"/>
        </c:manualLayout>
      </c:layout>
      <c:scatterChart>
        <c:scatterStyle val="lineMarker"/>
        <c:varyColors val="0"/>
        <c:ser>
          <c:idx val="0"/>
          <c:order val="0"/>
          <c:tx>
            <c:v>Hoek e Brown - picco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'Q''_GSI'!$A$149:$A$199</c:f>
              <c:numCach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0.7999999999999999</c:v>
                </c:pt>
                <c:pt idx="14">
                  <c:v>0.8999999999999999</c:v>
                </c:pt>
                <c:pt idx="15">
                  <c:v>0.9999999999999999</c:v>
                </c:pt>
                <c:pt idx="16">
                  <c:v>1.0999999999999999</c:v>
                </c:pt>
                <c:pt idx="17">
                  <c:v>1.2</c:v>
                </c:pt>
                <c:pt idx="18">
                  <c:v>1.3</c:v>
                </c:pt>
                <c:pt idx="19">
                  <c:v>1.4000000000000001</c:v>
                </c:pt>
                <c:pt idx="20">
                  <c:v>1.5000000000000002</c:v>
                </c:pt>
                <c:pt idx="21">
                  <c:v>1.6000000000000003</c:v>
                </c:pt>
                <c:pt idx="22">
                  <c:v>1.7000000000000004</c:v>
                </c:pt>
                <c:pt idx="23">
                  <c:v>1.8000000000000005</c:v>
                </c:pt>
                <c:pt idx="24">
                  <c:v>1.9000000000000006</c:v>
                </c:pt>
                <c:pt idx="25">
                  <c:v>2.0000000000000004</c:v>
                </c:pt>
                <c:pt idx="26">
                  <c:v>2.2000000000000006</c:v>
                </c:pt>
                <c:pt idx="27">
                  <c:v>2.400000000000001</c:v>
                </c:pt>
                <c:pt idx="28">
                  <c:v>2.600000000000001</c:v>
                </c:pt>
                <c:pt idx="29">
                  <c:v>2.800000000000001</c:v>
                </c:pt>
                <c:pt idx="30">
                  <c:v>3.0000000000000013</c:v>
                </c:pt>
                <c:pt idx="31">
                  <c:v>3.2000000000000015</c:v>
                </c:pt>
                <c:pt idx="32">
                  <c:v>3.4000000000000017</c:v>
                </c:pt>
                <c:pt idx="33">
                  <c:v>3.600000000000002</c:v>
                </c:pt>
                <c:pt idx="34">
                  <c:v>3.800000000000002</c:v>
                </c:pt>
                <c:pt idx="35">
                  <c:v>4.000000000000002</c:v>
                </c:pt>
                <c:pt idx="36">
                  <c:v>4.200000000000002</c:v>
                </c:pt>
                <c:pt idx="37">
                  <c:v>4.400000000000002</c:v>
                </c:pt>
                <c:pt idx="38">
                  <c:v>4.600000000000002</c:v>
                </c:pt>
                <c:pt idx="39">
                  <c:v>4.8000000000000025</c:v>
                </c:pt>
                <c:pt idx="40">
                  <c:v>5.000000000000003</c:v>
                </c:pt>
                <c:pt idx="41">
                  <c:v>5.500000000000003</c:v>
                </c:pt>
                <c:pt idx="42">
                  <c:v>6.000000000000003</c:v>
                </c:pt>
                <c:pt idx="43">
                  <c:v>6.500000000000003</c:v>
                </c:pt>
                <c:pt idx="44">
                  <c:v>7.000000000000003</c:v>
                </c:pt>
                <c:pt idx="45">
                  <c:v>7.500000000000003</c:v>
                </c:pt>
                <c:pt idx="46">
                  <c:v>8.000000000000004</c:v>
                </c:pt>
                <c:pt idx="47">
                  <c:v>8.500000000000004</c:v>
                </c:pt>
                <c:pt idx="48">
                  <c:v>9.000000000000004</c:v>
                </c:pt>
                <c:pt idx="49">
                  <c:v>9.500000000000004</c:v>
                </c:pt>
                <c:pt idx="50">
                  <c:v>10.000000000000004</c:v>
                </c:pt>
              </c:numCache>
            </c:numRef>
          </c:xVal>
          <c:yVal>
            <c:numRef>
              <c:f>'Q''_GSI'!$B$149:$B$199</c:f>
              <c:numCache>
                <c:ptCount val="51"/>
                <c:pt idx="0">
                  <c:v>1.19296652141202</c:v>
                </c:pt>
                <c:pt idx="1">
                  <c:v>1.7947450728673044</c:v>
                </c:pt>
                <c:pt idx="2">
                  <c:v>2.2674235351034517</c:v>
                </c:pt>
                <c:pt idx="3">
                  <c:v>2.6743844432546022</c:v>
                </c:pt>
                <c:pt idx="4">
                  <c:v>3.0395669016600984</c:v>
                </c:pt>
                <c:pt idx="5">
                  <c:v>3.3751296919980396</c:v>
                </c:pt>
                <c:pt idx="6">
                  <c:v>3.6882611255258464</c:v>
                </c:pt>
                <c:pt idx="7">
                  <c:v>3.9836326122580914</c:v>
                </c:pt>
                <c:pt idx="8">
                  <c:v>4.264484224183648</c:v>
                </c:pt>
                <c:pt idx="9">
                  <c:v>4.533173192254365</c:v>
                </c:pt>
                <c:pt idx="10">
                  <c:v>4.791478374808976</c:v>
                </c:pt>
                <c:pt idx="11">
                  <c:v>5.28218192149387</c:v>
                </c:pt>
                <c:pt idx="12">
                  <c:v>5.744682061400954</c:v>
                </c:pt>
                <c:pt idx="13">
                  <c:v>6.184436490110257</c:v>
                </c:pt>
                <c:pt idx="14">
                  <c:v>6.605335706476252</c:v>
                </c:pt>
                <c:pt idx="15">
                  <c:v>7.010269660762986</c:v>
                </c:pt>
                <c:pt idx="16">
                  <c:v>7.4014552231673765</c:v>
                </c:pt>
                <c:pt idx="17">
                  <c:v>7.780637430537084</c:v>
                </c:pt>
                <c:pt idx="18">
                  <c:v>8.14921934891242</c:v>
                </c:pt>
                <c:pt idx="19">
                  <c:v>8.508349270179792</c:v>
                </c:pt>
                <c:pt idx="20">
                  <c:v>8.858981226588247</c:v>
                </c:pt>
                <c:pt idx="21">
                  <c:v>9.201918176145744</c:v>
                </c:pt>
                <c:pt idx="22">
                  <c:v>9.53784356661843</c:v>
                </c:pt>
                <c:pt idx="23">
                  <c:v>9.867344888093347</c:v>
                </c:pt>
                <c:pt idx="24">
                  <c:v>10.190931568791543</c:v>
                </c:pt>
                <c:pt idx="25">
                  <c:v>10.509048791878577</c:v>
                </c:pt>
                <c:pt idx="26">
                  <c:v>11.130397056079094</c:v>
                </c:pt>
                <c:pt idx="27">
                  <c:v>11.734025644474798</c:v>
                </c:pt>
                <c:pt idx="28">
                  <c:v>12.322044327085464</c:v>
                </c:pt>
                <c:pt idx="29">
                  <c:v>12.896173168755672</c:v>
                </c:pt>
                <c:pt idx="30">
                  <c:v>13.457836579886518</c:v>
                </c:pt>
                <c:pt idx="31">
                  <c:v>14.008230029448304</c:v>
                </c:pt>
                <c:pt idx="32">
                  <c:v>14.548368551839728</c:v>
                </c:pt>
                <c:pt idx="33">
                  <c:v>15.07912277827347</c:v>
                </c:pt>
                <c:pt idx="34">
                  <c:v>15.601246205559736</c:v>
                </c:pt>
                <c:pt idx="35">
                  <c:v>16.1153961754506</c:v>
                </c:pt>
                <c:pt idx="36">
                  <c:v>16.622150252522587</c:v>
                </c:pt>
                <c:pt idx="37">
                  <c:v>17.122019177770472</c:v>
                </c:pt>
                <c:pt idx="38">
                  <c:v>17.615457234788696</c:v>
                </c:pt>
                <c:pt idx="39">
                  <c:v>18.102870633847374</c:v>
                </c:pt>
                <c:pt idx="40">
                  <c:v>18.58462435854906</c:v>
                </c:pt>
                <c:pt idx="41">
                  <c:v>19.76633419723368</c:v>
                </c:pt>
                <c:pt idx="42">
                  <c:v>20.919023329439007</c:v>
                </c:pt>
                <c:pt idx="43">
                  <c:v>22.046186068041468</c:v>
                </c:pt>
                <c:pt idx="44">
                  <c:v>23.1506645282662</c:v>
                </c:pt>
                <c:pt idx="45">
                  <c:v>24.2348075600543</c:v>
                </c:pt>
                <c:pt idx="46">
                  <c:v>25.300583062844282</c:v>
                </c:pt>
                <c:pt idx="47">
                  <c:v>26.34965938757727</c:v>
                </c:pt>
                <c:pt idx="48">
                  <c:v>27.383465634580638</c:v>
                </c:pt>
                <c:pt idx="49">
                  <c:v>28.40323717598469</c:v>
                </c:pt>
                <c:pt idx="50">
                  <c:v>29.410050602970898</c:v>
                </c:pt>
              </c:numCache>
            </c:numRef>
          </c:yVal>
          <c:smooth val="1"/>
        </c:ser>
        <c:ser>
          <c:idx val="1"/>
          <c:order val="1"/>
          <c:tx>
            <c:v>Hoek e Brown - residuo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'Q''_GSI'!$A$149:$A$199</c:f>
              <c:numCach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0.7999999999999999</c:v>
                </c:pt>
                <c:pt idx="14">
                  <c:v>0.8999999999999999</c:v>
                </c:pt>
                <c:pt idx="15">
                  <c:v>0.9999999999999999</c:v>
                </c:pt>
                <c:pt idx="16">
                  <c:v>1.0999999999999999</c:v>
                </c:pt>
                <c:pt idx="17">
                  <c:v>1.2</c:v>
                </c:pt>
                <c:pt idx="18">
                  <c:v>1.3</c:v>
                </c:pt>
                <c:pt idx="19">
                  <c:v>1.4000000000000001</c:v>
                </c:pt>
                <c:pt idx="20">
                  <c:v>1.5000000000000002</c:v>
                </c:pt>
                <c:pt idx="21">
                  <c:v>1.6000000000000003</c:v>
                </c:pt>
                <c:pt idx="22">
                  <c:v>1.7000000000000004</c:v>
                </c:pt>
                <c:pt idx="23">
                  <c:v>1.8000000000000005</c:v>
                </c:pt>
                <c:pt idx="24">
                  <c:v>1.9000000000000006</c:v>
                </c:pt>
                <c:pt idx="25">
                  <c:v>2.0000000000000004</c:v>
                </c:pt>
                <c:pt idx="26">
                  <c:v>2.2000000000000006</c:v>
                </c:pt>
                <c:pt idx="27">
                  <c:v>2.400000000000001</c:v>
                </c:pt>
                <c:pt idx="28">
                  <c:v>2.600000000000001</c:v>
                </c:pt>
                <c:pt idx="29">
                  <c:v>2.800000000000001</c:v>
                </c:pt>
                <c:pt idx="30">
                  <c:v>3.0000000000000013</c:v>
                </c:pt>
                <c:pt idx="31">
                  <c:v>3.2000000000000015</c:v>
                </c:pt>
                <c:pt idx="32">
                  <c:v>3.4000000000000017</c:v>
                </c:pt>
                <c:pt idx="33">
                  <c:v>3.600000000000002</c:v>
                </c:pt>
                <c:pt idx="34">
                  <c:v>3.800000000000002</c:v>
                </c:pt>
                <c:pt idx="35">
                  <c:v>4.000000000000002</c:v>
                </c:pt>
                <c:pt idx="36">
                  <c:v>4.200000000000002</c:v>
                </c:pt>
                <c:pt idx="37">
                  <c:v>4.400000000000002</c:v>
                </c:pt>
                <c:pt idx="38">
                  <c:v>4.600000000000002</c:v>
                </c:pt>
                <c:pt idx="39">
                  <c:v>4.8000000000000025</c:v>
                </c:pt>
                <c:pt idx="40">
                  <c:v>5.000000000000003</c:v>
                </c:pt>
                <c:pt idx="41">
                  <c:v>5.500000000000003</c:v>
                </c:pt>
                <c:pt idx="42">
                  <c:v>6.000000000000003</c:v>
                </c:pt>
                <c:pt idx="43">
                  <c:v>6.500000000000003</c:v>
                </c:pt>
                <c:pt idx="44">
                  <c:v>7.000000000000003</c:v>
                </c:pt>
                <c:pt idx="45">
                  <c:v>7.500000000000003</c:v>
                </c:pt>
                <c:pt idx="46">
                  <c:v>8.000000000000004</c:v>
                </c:pt>
                <c:pt idx="47">
                  <c:v>8.500000000000004</c:v>
                </c:pt>
                <c:pt idx="48">
                  <c:v>9.000000000000004</c:v>
                </c:pt>
                <c:pt idx="49">
                  <c:v>9.500000000000004</c:v>
                </c:pt>
                <c:pt idx="50">
                  <c:v>10.000000000000004</c:v>
                </c:pt>
              </c:numCache>
            </c:numRef>
          </c:xVal>
          <c:yVal>
            <c:numRef>
              <c:f>'Q''_GSI'!$C$149:$C$199</c:f>
              <c:numCache>
                <c:ptCount val="51"/>
                <c:pt idx="0">
                  <c:v>0.972277044739981</c:v>
                </c:pt>
                <c:pt idx="1">
                  <c:v>1.5716309489561946</c:v>
                </c:pt>
                <c:pt idx="2">
                  <c:v>2.029606293559416</c:v>
                </c:pt>
                <c:pt idx="3">
                  <c:v>2.4204892478855364</c:v>
                </c:pt>
                <c:pt idx="4">
                  <c:v>2.7698830021845025</c:v>
                </c:pt>
                <c:pt idx="5">
                  <c:v>3.090302283788721</c:v>
                </c:pt>
                <c:pt idx="6">
                  <c:v>3.3889862761491814</c:v>
                </c:pt>
                <c:pt idx="7">
                  <c:v>3.670573220795519</c:v>
                </c:pt>
                <c:pt idx="8">
                  <c:v>3.9382482485925654</c:v>
                </c:pt>
                <c:pt idx="9">
                  <c:v>4.194311533779218</c:v>
                </c:pt>
                <c:pt idx="10">
                  <c:v>4.440489006819899</c:v>
                </c:pt>
                <c:pt idx="11">
                  <c:v>4.9082481560591855</c:v>
                </c:pt>
                <c:pt idx="12">
                  <c:v>5.34930140355386</c:v>
                </c:pt>
                <c:pt idx="13">
                  <c:v>5.768867996172684</c:v>
                </c:pt>
                <c:pt idx="14">
                  <c:v>6.17065404008226</c:v>
                </c:pt>
                <c:pt idx="15">
                  <c:v>6.557404499099286</c:v>
                </c:pt>
                <c:pt idx="16">
                  <c:v>6.931220269207337</c:v>
                </c:pt>
                <c:pt idx="17">
                  <c:v>7.293752127279848</c:v>
                </c:pt>
                <c:pt idx="18">
                  <c:v>7.646325419038201</c:v>
                </c:pt>
                <c:pt idx="19">
                  <c:v>7.9900235279043414</c:v>
                </c:pt>
                <c:pt idx="20">
                  <c:v>8.325745657177237</c:v>
                </c:pt>
                <c:pt idx="21">
                  <c:v>8.65424797856558</c:v>
                </c:pt>
                <c:pt idx="22">
                  <c:v>8.976173653435298</c:v>
                </c:pt>
                <c:pt idx="23">
                  <c:v>9.292075199565199</c:v>
                </c:pt>
                <c:pt idx="24">
                  <c:v>9.602431463136204</c:v>
                </c:pt>
                <c:pt idx="25">
                  <c:v>9.907660706882753</c:v>
                </c:pt>
                <c:pt idx="26">
                  <c:v>10.504167577340171</c:v>
                </c:pt>
                <c:pt idx="27">
                  <c:v>11.084070177693695</c:v>
                </c:pt>
                <c:pt idx="28">
                  <c:v>11.649347800627796</c:v>
                </c:pt>
                <c:pt idx="29">
                  <c:v>12.201613401211024</c:v>
                </c:pt>
                <c:pt idx="30">
                  <c:v>12.74220220555874</c:v>
                </c:pt>
                <c:pt idx="31">
                  <c:v>13.272234504923913</c:v>
                </c:pt>
                <c:pt idx="32">
                  <c:v>13.792661277452682</c:v>
                </c:pt>
                <c:pt idx="33">
                  <c:v>14.304298054112829</c:v>
                </c:pt>
                <c:pt idx="34">
                  <c:v>14.807850534218918</c:v>
                </c:pt>
                <c:pt idx="35">
                  <c:v>15.303934283306939</c:v>
                </c:pt>
                <c:pt idx="36">
                  <c:v>15.793090104187634</c:v>
                </c:pt>
                <c:pt idx="37">
                  <c:v>16.275796189800783</c:v>
                </c:pt>
                <c:pt idx="38">
                  <c:v>16.75247784551337</c:v>
                </c:pt>
                <c:pt idx="39">
                  <c:v>17.22351535023879</c:v>
                </c:pt>
                <c:pt idx="40">
                  <c:v>17.689250374459828</c:v>
                </c:pt>
                <c:pt idx="41">
                  <c:v>18.832342833568582</c:v>
                </c:pt>
                <c:pt idx="42">
                  <c:v>19.94824100667133</c:v>
                </c:pt>
                <c:pt idx="43">
                  <c:v>21.040215788984245</c:v>
                </c:pt>
                <c:pt idx="44">
                  <c:v>22.11092762621868</c:v>
                </c:pt>
                <c:pt idx="45">
                  <c:v>23.162575316365114</c:v>
                </c:pt>
                <c:pt idx="46">
                  <c:v>24.197001145374546</c:v>
                </c:pt>
                <c:pt idx="47">
                  <c:v>25.215767075219834</c:v>
                </c:pt>
                <c:pt idx="48">
                  <c:v>26.22021117373159</c:v>
                </c:pt>
                <c:pt idx="49">
                  <c:v>27.211490213623435</c:v>
                </c:pt>
                <c:pt idx="50">
                  <c:v>28.190612373793982</c:v>
                </c:pt>
              </c:numCache>
            </c:numRef>
          </c:yVal>
          <c:smooth val="1"/>
        </c:ser>
        <c:axId val="22055787"/>
        <c:axId val="64284356"/>
      </c:scatterChart>
      <c:valAx>
        <c:axId val="22055787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</a:t>
                </a:r>
                <a:r>
                  <a:rPr lang="en-US" cap="none" sz="1000" b="0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  [MPa]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crossAx val="64284356"/>
        <c:crossesAt val="0"/>
        <c:crossBetween val="midCat"/>
        <c:dispUnits/>
        <c:majorUnit val="1"/>
        <c:minorUnit val="0.5"/>
      </c:valAx>
      <c:valAx>
        <c:axId val="6428435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</a:t>
                </a:r>
                <a:r>
                  <a:rPr lang="en-US" cap="none" sz="1000" b="0" i="0" u="none" baseline="-25000"/>
                  <a:t>1</a:t>
                </a:r>
                <a:r>
                  <a:rPr lang="en-US" cap="none" sz="1000" b="0" i="0" u="none" baseline="0"/>
                  <a:t> 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[MPa]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crossAx val="22055787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55"/>
          <c:w val="0.85875"/>
          <c:h val="0.912"/>
        </c:manualLayout>
      </c:layout>
      <c:scatterChart>
        <c:scatterStyle val="smooth"/>
        <c:varyColors val="0"/>
        <c:ser>
          <c:idx val="0"/>
          <c:order val="0"/>
          <c:tx>
            <c:v>condizioni di picco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'Q''_GSI'!$D$207:$D$253</c:f>
              <c:numCache>
                <c:ptCount val="47"/>
                <c:pt idx="0">
                  <c:v>8.71788586827571E-05</c:v>
                </c:pt>
                <c:pt idx="1">
                  <c:v>0.07754197878732993</c:v>
                </c:pt>
                <c:pt idx="2">
                  <c:v>0.10313032608311068</c:v>
                </c:pt>
                <c:pt idx="3">
                  <c:v>0.1284481416669494</c:v>
                </c:pt>
                <c:pt idx="4">
                  <c:v>0.15352499654317375</c:v>
                </c:pt>
                <c:pt idx="5">
                  <c:v>0.17838401756025557</c:v>
                </c:pt>
                <c:pt idx="6">
                  <c:v>0.20304388193888379</c:v>
                </c:pt>
                <c:pt idx="7">
                  <c:v>0.2275200467898364</c:v>
                </c:pt>
                <c:pt idx="8">
                  <c:v>0.25182555322191946</c:v>
                </c:pt>
                <c:pt idx="9">
                  <c:v>0.2759715769225336</c:v>
                </c:pt>
                <c:pt idx="10">
                  <c:v>0.2999678192412838</c:v>
                </c:pt>
                <c:pt idx="11">
                  <c:v>0.3238227934622411</c:v>
                </c:pt>
                <c:pt idx="12">
                  <c:v>0.34754403968320524</c:v>
                </c:pt>
                <c:pt idx="13">
                  <c:v>0.3711382895783132</c:v>
                </c:pt>
                <c:pt idx="14">
                  <c:v>0.3946115950657071</c:v>
                </c:pt>
                <c:pt idx="15">
                  <c:v>0.4179694303977405</c:v>
                </c:pt>
                <c:pt idx="16">
                  <c:v>0.4412167743008166</c:v>
                </c:pt>
                <c:pt idx="17">
                  <c:v>0.4643581768835091</c:v>
                </c:pt>
                <c:pt idx="18">
                  <c:v>0.4873978147394564</c:v>
                </c:pt>
                <c:pt idx="19">
                  <c:v>0.5103395367771306</c:v>
                </c:pt>
                <c:pt idx="20">
                  <c:v>0.533186902677103</c:v>
                </c:pt>
                <c:pt idx="21">
                  <c:v>0.5559432154237014</c:v>
                </c:pt>
                <c:pt idx="22">
                  <c:v>0.6011947723028124</c:v>
                </c:pt>
                <c:pt idx="23">
                  <c:v>0.6461164576379401</c:v>
                </c:pt>
                <c:pt idx="24">
                  <c:v>0.6907278338979512</c:v>
                </c:pt>
                <c:pt idx="25">
                  <c:v>0.735046247989551</c:v>
                </c:pt>
                <c:pt idx="26">
                  <c:v>0.7790871969784494</c:v>
                </c:pt>
                <c:pt idx="27">
                  <c:v>0.8228646161060105</c:v>
                </c:pt>
                <c:pt idx="28">
                  <c:v>0.8663911089419263</c:v>
                </c:pt>
                <c:pt idx="29">
                  <c:v>0.9096781336793069</c:v>
                </c:pt>
                <c:pt idx="30">
                  <c:v>0.9527361556644427</c:v>
                </c:pt>
                <c:pt idx="31">
                  <c:v>0.9955747735664311</c:v>
                </c:pt>
                <c:pt idx="32">
                  <c:v>1.038202824709021</c:v>
                </c:pt>
                <c:pt idx="33">
                  <c:v>1.080628473743369</c:v>
                </c:pt>
                <c:pt idx="34">
                  <c:v>1.1228592878655714</c:v>
                </c:pt>
                <c:pt idx="35">
                  <c:v>1.1649023010649868</c:v>
                </c:pt>
                <c:pt idx="36">
                  <c:v>1.2067640693534938</c:v>
                </c:pt>
                <c:pt idx="37">
                  <c:v>1.3106647965274034</c:v>
                </c:pt>
                <c:pt idx="38">
                  <c:v>1.4135557665215464</c:v>
                </c:pt>
                <c:pt idx="39">
                  <c:v>1.515510702931504</c:v>
                </c:pt>
                <c:pt idx="40">
                  <c:v>1.616593654300488</c:v>
                </c:pt>
                <c:pt idx="41">
                  <c:v>1.7168607932381206</c:v>
                </c:pt>
                <c:pt idx="42">
                  <c:v>1.816361791718366</c:v>
                </c:pt>
                <c:pt idx="43">
                  <c:v>1.9151408912886896</c:v>
                </c:pt>
                <c:pt idx="44">
                  <c:v>2.0132377489082676</c:v>
                </c:pt>
                <c:pt idx="45">
                  <c:v>2.1106881146590784</c:v>
                </c:pt>
                <c:pt idx="46">
                  <c:v>2.207524381376587</c:v>
                </c:pt>
              </c:numCache>
            </c:numRef>
          </c:xVal>
          <c:yVal>
            <c:numRef>
              <c:f>'Q''_GSI'!$E$207:$E$253</c:f>
              <c:numCache>
                <c:ptCount val="47"/>
                <c:pt idx="0">
                  <c:v>0.1412505115785593</c:v>
                </c:pt>
                <c:pt idx="1">
                  <c:v>0.29409560728285433</c:v>
                </c:pt>
                <c:pt idx="2">
                  <c:v>0.33808987496342996</c:v>
                </c:pt>
                <c:pt idx="3">
                  <c:v>0.37964548469634213</c:v>
                </c:pt>
                <c:pt idx="4">
                  <c:v>0.4192102455271426</c:v>
                </c:pt>
                <c:pt idx="5">
                  <c:v>0.45710235471316024</c:v>
                </c:pt>
                <c:pt idx="6">
                  <c:v>0.4935586380020411</c:v>
                </c:pt>
                <c:pt idx="7">
                  <c:v>0.5287616565966149</c:v>
                </c:pt>
                <c:pt idx="8">
                  <c:v>0.5628560717254074</c:v>
                </c:pt>
                <c:pt idx="9">
                  <c:v>0.5959590871570689</c:v>
                </c:pt>
                <c:pt idx="10">
                  <c:v>0.628167414086841</c:v>
                </c:pt>
                <c:pt idx="11">
                  <c:v>0.6595620875773704</c:v>
                </c:pt>
                <c:pt idx="12">
                  <c:v>0.6902118991955917</c:v>
                </c:pt>
                <c:pt idx="13">
                  <c:v>0.7201759066721053</c:v>
                </c:pt>
                <c:pt idx="14">
                  <c:v>0.749505309391217</c:v>
                </c:pt>
                <c:pt idx="15">
                  <c:v>0.7782448768596096</c:v>
                </c:pt>
                <c:pt idx="16">
                  <c:v>0.8064340549763482</c:v>
                </c:pt>
                <c:pt idx="17">
                  <c:v>0.8341078354822249</c:v>
                </c:pt>
                <c:pt idx="18">
                  <c:v>0.8612974482976936</c:v>
                </c:pt>
                <c:pt idx="19">
                  <c:v>0.8880309193387342</c:v>
                </c:pt>
                <c:pt idx="20">
                  <c:v>0.9143335247291581</c:v>
                </c:pt>
                <c:pt idx="21">
                  <c:v>0.940228164214117</c:v>
                </c:pt>
                <c:pt idx="22">
                  <c:v>0.9908750698237309</c:v>
                </c:pt>
                <c:pt idx="23">
                  <c:v>1.0401178814809307</c:v>
                </c:pt>
                <c:pt idx="24">
                  <c:v>1.0880801460135867</c:v>
                </c:pt>
                <c:pt idx="25">
                  <c:v>1.1348674681165845</c:v>
                </c:pt>
                <c:pt idx="26">
                  <c:v>1.18057104104351</c:v>
                </c:pt>
                <c:pt idx="27">
                  <c:v>1.2252703199114905</c:v>
                </c:pt>
                <c:pt idx="28">
                  <c:v>1.2690350811670121</c:v>
                </c:pt>
                <c:pt idx="29">
                  <c:v>1.3119270335554172</c:v>
                </c:pt>
                <c:pt idx="30">
                  <c:v>1.3540010954605124</c:v>
                </c:pt>
                <c:pt idx="31">
                  <c:v>1.3953064200599505</c:v>
                </c:pt>
                <c:pt idx="32">
                  <c:v>1.4358872271069785</c:v>
                </c:pt>
                <c:pt idx="33">
                  <c:v>1.4757834845052975</c:v>
                </c:pt>
                <c:pt idx="34">
                  <c:v>1.5150314718330253</c:v>
                </c:pt>
                <c:pt idx="35">
                  <c:v>1.55366425009303</c:v>
                </c:pt>
                <c:pt idx="36">
                  <c:v>1.5917120562442821</c:v>
                </c:pt>
                <c:pt idx="37">
                  <c:v>1.6844490361950193</c:v>
                </c:pt>
                <c:pt idx="38">
                  <c:v>1.7740752850129593</c:v>
                </c:pt>
                <c:pt idx="39">
                  <c:v>1.8609030278373908</c:v>
                </c:pt>
                <c:pt idx="40">
                  <c:v>1.9451939847582542</c:v>
                </c:pt>
                <c:pt idx="41">
                  <c:v>2.027170303911568</c:v>
                </c:pt>
                <c:pt idx="42">
                  <c:v>2.107022597604792</c:v>
                </c:pt>
                <c:pt idx="43">
                  <c:v>2.184915973898389</c:v>
                </c:pt>
                <c:pt idx="44">
                  <c:v>2.2609946468422333</c:v>
                </c:pt>
                <c:pt idx="45">
                  <c:v>2.335385517149649</c:v>
                </c:pt>
                <c:pt idx="46">
                  <c:v>2.4082009929406607</c:v>
                </c:pt>
              </c:numCache>
            </c:numRef>
          </c:yVal>
          <c:smooth val="1"/>
        </c:ser>
        <c:ser>
          <c:idx val="1"/>
          <c:order val="1"/>
          <c:tx>
            <c:v>condizioni post-rottura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'Q''_GSI'!$F$207:$F$253</c:f>
              <c:numCache>
                <c:ptCount val="47"/>
                <c:pt idx="0">
                  <c:v>-6.581538714045543E-05</c:v>
                </c:pt>
                <c:pt idx="1">
                  <c:v>0.06159340937598018</c:v>
                </c:pt>
                <c:pt idx="2">
                  <c:v>0.0871244628015656</c:v>
                </c:pt>
                <c:pt idx="3">
                  <c:v>0.11233837727217766</c:v>
                </c:pt>
                <c:pt idx="4">
                  <c:v>0.13727589621598835</c:v>
                </c:pt>
                <c:pt idx="5">
                  <c:v>0.16196753958506704</c:v>
                </c:pt>
                <c:pt idx="6">
                  <c:v>0.18643718455920244</c:v>
                </c:pt>
                <c:pt idx="7">
                  <c:v>0.2107041132430152</c:v>
                </c:pt>
                <c:pt idx="8">
                  <c:v>0.2347842786760641</c:v>
                </c:pt>
                <c:pt idx="9">
                  <c:v>0.2586911344909887</c:v>
                </c:pt>
                <c:pt idx="10">
                  <c:v>0.28243620380264567</c:v>
                </c:pt>
                <c:pt idx="11">
                  <c:v>0.3060294837073595</c:v>
                </c:pt>
                <c:pt idx="12">
                  <c:v>0.32947974158792703</c:v>
                </c:pt>
                <c:pt idx="13">
                  <c:v>0.3527947376341166</c:v>
                </c:pt>
                <c:pt idx="14">
                  <c:v>0.37598139552067855</c:v>
                </c:pt>
                <c:pt idx="15">
                  <c:v>0.39904593572146674</c:v>
                </c:pt>
                <c:pt idx="16">
                  <c:v>0.4219939812971112</c:v>
                </c:pt>
                <c:pt idx="17">
                  <c:v>0.444830643011744</c:v>
                </c:pt>
                <c:pt idx="18">
                  <c:v>0.4675605886631966</c:v>
                </c:pt>
                <c:pt idx="19">
                  <c:v>0.4901881001754522</c:v>
                </c:pt>
                <c:pt idx="20">
                  <c:v>0.5127171210768801</c:v>
                </c:pt>
                <c:pt idx="21">
                  <c:v>0.5351512963342091</c:v>
                </c:pt>
                <c:pt idx="22">
                  <c:v>0.5797483941262602</c:v>
                </c:pt>
                <c:pt idx="23">
                  <c:v>0.62400374460553</c:v>
                </c:pt>
                <c:pt idx="24">
                  <c:v>0.6679386313233209</c:v>
                </c:pt>
                <c:pt idx="25">
                  <c:v>0.7115718293010063</c:v>
                </c:pt>
                <c:pt idx="26">
                  <c:v>0.7549200337343864</c:v>
                </c:pt>
                <c:pt idx="27">
                  <c:v>0.7979981947115862</c:v>
                </c:pt>
                <c:pt idx="28">
                  <c:v>0.8408197826453456</c:v>
                </c:pt>
                <c:pt idx="29">
                  <c:v>0.8833970016590555</c:v>
                </c:pt>
                <c:pt idx="30">
                  <c:v>0.925740963222855</c:v>
                </c:pt>
                <c:pt idx="31">
                  <c:v>0.9678618289806591</c:v>
                </c:pt>
                <c:pt idx="32">
                  <c:v>1.0097689293813148</c:v>
                </c:pt>
                <c:pt idx="33">
                  <c:v>1.0514708630810294</c:v>
                </c:pt>
                <c:pt idx="34">
                  <c:v>1.0929755808997728</c:v>
                </c:pt>
                <c:pt idx="35">
                  <c:v>1.1342904572486565</c:v>
                </c:pt>
                <c:pt idx="36">
                  <c:v>1.1754223513035458</c:v>
                </c:pt>
                <c:pt idx="37">
                  <c:v>1.2774925010190958</c:v>
                </c:pt>
                <c:pt idx="38">
                  <c:v>1.3785471822201387</c:v>
                </c:pt>
                <c:pt idx="39">
                  <c:v>1.4786628429833215</c:v>
                </c:pt>
                <c:pt idx="40">
                  <c:v>1.5779056615817637</c:v>
                </c:pt>
                <c:pt idx="41">
                  <c:v>1.676333493136028</c:v>
                </c:pt>
                <c:pt idx="42">
                  <c:v>1.7739973500618036</c:v>
                </c:pt>
                <c:pt idx="43">
                  <c:v>1.8709425488481877</c:v>
                </c:pt>
                <c:pt idx="44">
                  <c:v>1.9672096126995477</c:v>
                </c:pt>
                <c:pt idx="45">
                  <c:v>2.0628349920778417</c:v>
                </c:pt>
                <c:pt idx="46">
                  <c:v>2.1578516470950797</c:v>
                </c:pt>
              </c:numCache>
            </c:numRef>
          </c:xVal>
          <c:yVal>
            <c:numRef>
              <c:f>'Q''_GSI'!$G$207:$G$253</c:f>
              <c:numCache>
                <c:ptCount val="47"/>
                <c:pt idx="0">
                  <c:v>0.11337570448814496</c:v>
                </c:pt>
                <c:pt idx="1">
                  <c:v>0.23683772918388812</c:v>
                </c:pt>
                <c:pt idx="2">
                  <c:v>0.28117600552673255</c:v>
                </c:pt>
                <c:pt idx="3">
                  <c:v>0.3226076686984614</c:v>
                </c:pt>
                <c:pt idx="4">
                  <c:v>0.3617535390376274</c:v>
                </c:pt>
                <c:pt idx="5">
                  <c:v>0.39902946955639357</c:v>
                </c:pt>
                <c:pt idx="6">
                  <c:v>0.4347320292815895</c:v>
                </c:pt>
                <c:pt idx="7">
                  <c:v>0.4690825418785199</c:v>
                </c:pt>
                <c:pt idx="8">
                  <c:v>0.5022519712041341</c:v>
                </c:pt>
                <c:pt idx="9">
                  <c:v>0.5343760094174174</c:v>
                </c:pt>
                <c:pt idx="10">
                  <c:v>0.5655647376643718</c:v>
                </c:pt>
                <c:pt idx="11">
                  <c:v>0.5959090872472049</c:v>
                </c:pt>
                <c:pt idx="12">
                  <c:v>0.6254853179089963</c:v>
                </c:pt>
                <c:pt idx="13">
                  <c:v>0.6543582155860789</c:v>
                </c:pt>
                <c:pt idx="14">
                  <c:v>0.6825834341588489</c:v>
                </c:pt>
                <c:pt idx="15">
                  <c:v>0.7102092479269732</c:v>
                </c:pt>
                <c:pt idx="16">
                  <c:v>0.7372778880197189</c:v>
                </c:pt>
                <c:pt idx="17">
                  <c:v>0.763826578484862</c:v>
                </c:pt>
                <c:pt idx="18">
                  <c:v>0.789888351354395</c:v>
                </c:pt>
                <c:pt idx="19">
                  <c:v>0.8154926962252668</c:v>
                </c:pt>
                <c:pt idx="20">
                  <c:v>0.8406660840209191</c:v>
                </c:pt>
                <c:pt idx="21">
                  <c:v>0.8654323937633049</c:v>
                </c:pt>
                <c:pt idx="22">
                  <c:v>0.9138283823222301</c:v>
                </c:pt>
                <c:pt idx="23">
                  <c:v>0.9608317966184377</c:v>
                </c:pt>
                <c:pt idx="24">
                  <c:v>1.0065695106450119</c:v>
                </c:pt>
                <c:pt idx="25">
                  <c:v>1.0511493820975566</c:v>
                </c:pt>
                <c:pt idx="26">
                  <c:v>1.0946641054944424</c:v>
                </c:pt>
                <c:pt idx="27">
                  <c:v>1.1371941036240398</c:v>
                </c:pt>
                <c:pt idx="28">
                  <c:v>1.1788097376381388</c:v>
                </c:pt>
                <c:pt idx="29">
                  <c:v>1.2195730238690234</c:v>
                </c:pt>
                <c:pt idx="30">
                  <c:v>1.259538986680821</c:v>
                </c:pt>
                <c:pt idx="31">
                  <c:v>1.2987567382000869</c:v>
                </c:pt>
                <c:pt idx="32">
                  <c:v>1.33727034998377</c:v>
                </c:pt>
                <c:pt idx="33">
                  <c:v>1.3751195640232245</c:v>
                </c:pt>
                <c:pt idx="34">
                  <c:v>1.4123403781557413</c:v>
                </c:pt>
                <c:pt idx="35">
                  <c:v>1.4489655322002912</c:v>
                </c:pt>
                <c:pt idx="36">
                  <c:v>1.4850249148184884</c:v>
                </c:pt>
                <c:pt idx="37">
                  <c:v>1.5728724112844505</c:v>
                </c:pt>
                <c:pt idx="38">
                  <c:v>1.6577209497566443</c:v>
                </c:pt>
                <c:pt idx="39">
                  <c:v>1.7398768218991671</c:v>
                </c:pt>
                <c:pt idx="40">
                  <c:v>1.819596019434715</c:v>
                </c:pt>
                <c:pt idx="41">
                  <c:v>1.8970952711571634</c:v>
                </c:pt>
                <c:pt idx="42">
                  <c:v>1.9725601190208841</c:v>
                </c:pt>
                <c:pt idx="43">
                  <c:v>2.0461509559616395</c:v>
                </c:pt>
                <c:pt idx="44">
                  <c:v>2.118007624951142</c:v>
                </c:pt>
                <c:pt idx="45">
                  <c:v>2.188252980002493</c:v>
                </c:pt>
                <c:pt idx="46">
                  <c:v>2.256995683685489</c:v>
                </c:pt>
              </c:numCache>
            </c:numRef>
          </c:yVal>
          <c:smooth val="1"/>
        </c:ser>
        <c:axId val="41688293"/>
        <c:axId val="39650318"/>
      </c:scatterChart>
      <c:valAx>
        <c:axId val="41688293"/>
        <c:scaling>
          <c:orientation val="minMax"/>
          <c:max val="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 [MPa]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out"/>
        <c:tickLblPos val="nextTo"/>
        <c:crossAx val="39650318"/>
        <c:crossesAt val="0"/>
        <c:crossBetween val="midCat"/>
        <c:dispUnits/>
        <c:majorUnit val="0.5"/>
        <c:minorUnit val="0.1"/>
      </c:valAx>
      <c:valAx>
        <c:axId val="39650318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 [MPa]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out"/>
        <c:tickLblPos val="nextTo"/>
        <c:crossAx val="41688293"/>
        <c:crossesAt val="0"/>
        <c:crossBetween val="midCat"/>
        <c:dispUnits/>
        <c:majorUnit val="0.5"/>
        <c:min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025"/>
          <c:y val="0.75"/>
          <c:w val="0.23575"/>
          <c:h val="0.084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76</xdr:row>
      <xdr:rowOff>9525</xdr:rowOff>
    </xdr:from>
    <xdr:to>
      <xdr:col>13</xdr:col>
      <xdr:colOff>0</xdr:colOff>
      <xdr:row>102</xdr:row>
      <xdr:rowOff>38100</xdr:rowOff>
    </xdr:to>
    <xdr:graphicFrame>
      <xdr:nvGraphicFramePr>
        <xdr:cNvPr id="1" name="Chart 1"/>
        <xdr:cNvGraphicFramePr/>
      </xdr:nvGraphicFramePr>
      <xdr:xfrm>
        <a:off x="38100" y="10972800"/>
        <a:ext cx="66103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3</xdr:col>
      <xdr:colOff>542925</xdr:colOff>
      <xdr:row>29</xdr:row>
      <xdr:rowOff>133350</xdr:rowOff>
    </xdr:to>
    <xdr:graphicFrame>
      <xdr:nvGraphicFramePr>
        <xdr:cNvPr id="1" name="Chart 3"/>
        <xdr:cNvGraphicFramePr/>
      </xdr:nvGraphicFramePr>
      <xdr:xfrm>
        <a:off x="19050" y="609600"/>
        <a:ext cx="23526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3</xdr:row>
      <xdr:rowOff>47625</xdr:rowOff>
    </xdr:from>
    <xdr:to>
      <xdr:col>14</xdr:col>
      <xdr:colOff>314325</xdr:colOff>
      <xdr:row>29</xdr:row>
      <xdr:rowOff>142875</xdr:rowOff>
    </xdr:to>
    <xdr:graphicFrame>
      <xdr:nvGraphicFramePr>
        <xdr:cNvPr id="2" name="Chart 4"/>
        <xdr:cNvGraphicFramePr/>
      </xdr:nvGraphicFramePr>
      <xdr:xfrm>
        <a:off x="2543175" y="619125"/>
        <a:ext cx="636270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3</xdr:col>
      <xdr:colOff>542925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19050" y="609600"/>
        <a:ext cx="23526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3</xdr:row>
      <xdr:rowOff>47625</xdr:rowOff>
    </xdr:from>
    <xdr:to>
      <xdr:col>14</xdr:col>
      <xdr:colOff>314325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2543175" y="619125"/>
        <a:ext cx="636270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12"/>
  <sheetViews>
    <sheetView tabSelected="1" workbookViewId="0" topLeftCell="A1">
      <selection activeCell="H3" sqref="H3"/>
    </sheetView>
  </sheetViews>
  <sheetFormatPr defaultColWidth="9.140625" defaultRowHeight="10.5" customHeight="1"/>
  <cols>
    <col min="1" max="1" width="7.140625" style="117" customWidth="1"/>
    <col min="2" max="2" width="7.7109375" style="117" customWidth="1"/>
    <col min="3" max="3" width="7.00390625" style="117" customWidth="1"/>
    <col min="4" max="4" width="7.8515625" style="117" customWidth="1"/>
    <col min="5" max="5" width="8.421875" style="117" customWidth="1"/>
    <col min="6" max="6" width="6.57421875" style="117" customWidth="1"/>
    <col min="7" max="7" width="8.7109375" style="117" customWidth="1"/>
    <col min="8" max="8" width="6.00390625" style="117" customWidth="1"/>
    <col min="9" max="9" width="10.7109375" style="117" customWidth="1"/>
    <col min="10" max="10" width="9.57421875" style="117" customWidth="1"/>
    <col min="11" max="11" width="7.8515625" style="117" customWidth="1"/>
    <col min="12" max="12" width="6.140625" style="117" customWidth="1"/>
    <col min="13" max="13" width="6.00390625" style="117" customWidth="1"/>
    <col min="14" max="14" width="9.140625" style="117" customWidth="1"/>
    <col min="15" max="15" width="10.00390625" style="117" customWidth="1"/>
    <col min="16" max="16" width="9.140625" style="117" customWidth="1"/>
    <col min="17" max="17" width="11.00390625" style="117" customWidth="1"/>
    <col min="18" max="18" width="8.140625" style="117" customWidth="1"/>
    <col min="19" max="19" width="10.7109375" style="117" bestFit="1" customWidth="1"/>
    <col min="20" max="20" width="14.28125" style="117" customWidth="1"/>
    <col min="21" max="16384" width="9.140625" style="117" customWidth="1"/>
  </cols>
  <sheetData>
    <row r="1" spans="1:12" s="2" customFormat="1" ht="12.75">
      <c r="A1" s="1" t="s">
        <v>0</v>
      </c>
      <c r="L1" s="1" t="s">
        <v>1</v>
      </c>
    </row>
    <row r="2" spans="1:4" s="3" customFormat="1" ht="10.5" customHeight="1">
      <c r="A2" s="1"/>
      <c r="B2" s="2"/>
      <c r="C2" s="2"/>
      <c r="D2" s="2"/>
    </row>
    <row r="3" spans="1:10" s="3" customFormat="1" ht="12.75">
      <c r="A3" s="4" t="s">
        <v>2</v>
      </c>
      <c r="B3" s="5"/>
      <c r="C3" s="12" t="s">
        <v>132</v>
      </c>
      <c r="D3" s="292"/>
      <c r="E3" s="292"/>
      <c r="F3" s="292"/>
      <c r="G3" s="292"/>
      <c r="H3" s="292"/>
      <c r="I3" s="269"/>
      <c r="J3" s="270"/>
    </row>
    <row r="4" spans="1:10" s="3" customFormat="1" ht="12.75">
      <c r="A4" s="6" t="s">
        <v>3</v>
      </c>
      <c r="B4" s="7"/>
      <c r="C4" s="13" t="s">
        <v>137</v>
      </c>
      <c r="D4" s="293"/>
      <c r="E4" s="293"/>
      <c r="F4" s="293"/>
      <c r="G4" s="293"/>
      <c r="H4" s="293"/>
      <c r="I4" s="271"/>
      <c r="J4" s="272"/>
    </row>
    <row r="5" spans="1:10" s="3" customFormat="1" ht="12.75">
      <c r="A5" s="6" t="s">
        <v>4</v>
      </c>
      <c r="B5" s="7"/>
      <c r="C5" s="14" t="s">
        <v>133</v>
      </c>
      <c r="D5" s="293"/>
      <c r="E5" s="293"/>
      <c r="F5" s="293"/>
      <c r="G5" s="293"/>
      <c r="H5" s="293"/>
      <c r="I5" s="271"/>
      <c r="J5" s="272"/>
    </row>
    <row r="6" spans="1:10" s="3" customFormat="1" ht="12.75">
      <c r="A6" s="6" t="s">
        <v>5</v>
      </c>
      <c r="B6" s="7"/>
      <c r="C6" s="265" t="s">
        <v>134</v>
      </c>
      <c r="D6" s="293"/>
      <c r="E6" s="293"/>
      <c r="F6" s="293"/>
      <c r="G6" s="293"/>
      <c r="H6" s="293"/>
      <c r="I6" s="271"/>
      <c r="J6" s="272"/>
    </row>
    <row r="7" spans="1:10" s="3" customFormat="1" ht="3.75" customHeight="1">
      <c r="A7" s="6"/>
      <c r="B7" s="7"/>
      <c r="C7" s="13" t="s">
        <v>1</v>
      </c>
      <c r="D7" s="293"/>
      <c r="E7" s="293"/>
      <c r="F7" s="293"/>
      <c r="G7" s="293"/>
      <c r="H7" s="293"/>
      <c r="I7" s="271"/>
      <c r="J7" s="272"/>
    </row>
    <row r="8" spans="1:10" s="3" customFormat="1" ht="12.75">
      <c r="A8" s="6" t="s">
        <v>6</v>
      </c>
      <c r="B8" s="7"/>
      <c r="C8" s="13"/>
      <c r="D8" s="293"/>
      <c r="E8" s="293"/>
      <c r="F8" s="293"/>
      <c r="G8" s="293"/>
      <c r="H8" s="293"/>
      <c r="I8" s="271"/>
      <c r="J8" s="272"/>
    </row>
    <row r="9" spans="1:10" s="3" customFormat="1" ht="10.5" customHeight="1">
      <c r="A9" s="8" t="s">
        <v>7</v>
      </c>
      <c r="B9" s="19"/>
      <c r="C9" s="15" t="s">
        <v>139</v>
      </c>
      <c r="D9" s="294"/>
      <c r="E9" s="294"/>
      <c r="F9" s="294"/>
      <c r="G9" s="294"/>
      <c r="H9" s="294"/>
      <c r="I9" s="273"/>
      <c r="J9" s="274"/>
    </row>
    <row r="10" spans="1:6" s="3" customFormat="1" ht="11.25" customHeight="1">
      <c r="A10" s="1"/>
      <c r="B10" s="2"/>
      <c r="C10" s="120"/>
      <c r="D10" s="120"/>
      <c r="E10" s="120"/>
      <c r="F10" s="120"/>
    </row>
    <row r="11" spans="1:6" s="3" customFormat="1" ht="10.5" customHeight="1">
      <c r="A11" s="1" t="s">
        <v>103</v>
      </c>
      <c r="B11" s="2"/>
      <c r="C11" s="120"/>
      <c r="D11" s="120"/>
      <c r="E11" s="120"/>
      <c r="F11" s="120"/>
    </row>
    <row r="12" spans="1:6" s="3" customFormat="1" ht="3.75" customHeight="1">
      <c r="A12" s="1"/>
      <c r="B12" s="2"/>
      <c r="C12" s="120"/>
      <c r="D12" s="120"/>
      <c r="E12" s="120"/>
      <c r="F12" s="120"/>
    </row>
    <row r="13" spans="1:10" s="3" customFormat="1" ht="13.5" customHeight="1">
      <c r="A13" s="308" t="s">
        <v>142</v>
      </c>
      <c r="B13" s="295"/>
      <c r="C13" s="295"/>
      <c r="D13" s="295"/>
      <c r="E13" s="295"/>
      <c r="F13" s="295"/>
      <c r="G13" s="295"/>
      <c r="H13" s="296"/>
      <c r="I13" s="269"/>
      <c r="J13" s="270"/>
    </row>
    <row r="14" spans="1:10" s="3" customFormat="1" ht="13.5" customHeight="1">
      <c r="A14" s="309" t="s">
        <v>140</v>
      </c>
      <c r="B14" s="297"/>
      <c r="C14" s="297"/>
      <c r="D14" s="297"/>
      <c r="E14" s="297"/>
      <c r="F14" s="297"/>
      <c r="G14" s="297"/>
      <c r="H14" s="298"/>
      <c r="I14" s="271"/>
      <c r="J14" s="272"/>
    </row>
    <row r="15" spans="1:10" s="3" customFormat="1" ht="13.5" customHeight="1">
      <c r="A15" s="310" t="s">
        <v>138</v>
      </c>
      <c r="B15" s="299"/>
      <c r="C15" s="299"/>
      <c r="D15" s="299"/>
      <c r="E15" s="299"/>
      <c r="F15" s="299"/>
      <c r="G15" s="299"/>
      <c r="H15" s="300"/>
      <c r="I15" s="273"/>
      <c r="J15" s="274"/>
    </row>
    <row r="16" spans="1:6" s="3" customFormat="1" ht="9.75" customHeight="1">
      <c r="A16" s="1"/>
      <c r="B16" s="2"/>
      <c r="C16" s="120"/>
      <c r="D16" s="120"/>
      <c r="E16" s="120"/>
      <c r="F16" s="120"/>
    </row>
    <row r="17" spans="1:6" s="3" customFormat="1" ht="12.75" customHeight="1">
      <c r="A17" s="1" t="s">
        <v>105</v>
      </c>
      <c r="B17" s="2"/>
      <c r="C17" s="120"/>
      <c r="D17" s="120"/>
      <c r="E17" s="120"/>
      <c r="F17" s="120"/>
    </row>
    <row r="18" spans="1:6" s="3" customFormat="1" ht="12.75" customHeight="1">
      <c r="A18" s="1" t="s">
        <v>116</v>
      </c>
      <c r="B18" s="2"/>
      <c r="C18" s="120"/>
      <c r="D18" s="120"/>
      <c r="E18" s="120"/>
      <c r="F18" s="120"/>
    </row>
    <row r="19" spans="1:6" s="3" customFormat="1" ht="6.75" customHeight="1">
      <c r="A19" s="1"/>
      <c r="B19" s="2"/>
      <c r="C19" s="120"/>
      <c r="D19" s="120"/>
      <c r="E19" s="120"/>
      <c r="F19" s="120"/>
    </row>
    <row r="20" spans="1:10" s="3" customFormat="1" ht="12.75" customHeight="1">
      <c r="A20" s="275" t="s">
        <v>107</v>
      </c>
      <c r="B20" s="80"/>
      <c r="C20" s="302" t="s">
        <v>120</v>
      </c>
      <c r="D20" s="291"/>
      <c r="E20" s="40" t="s">
        <v>27</v>
      </c>
      <c r="F20" s="303" t="s">
        <v>135</v>
      </c>
      <c r="G20" s="331" t="s">
        <v>110</v>
      </c>
      <c r="H20" s="332"/>
      <c r="I20" s="331" t="s">
        <v>111</v>
      </c>
      <c r="J20" s="332"/>
    </row>
    <row r="21" spans="1:10" s="3" customFormat="1" ht="14.25" customHeight="1">
      <c r="A21" s="277" t="s">
        <v>64</v>
      </c>
      <c r="B21" s="2"/>
      <c r="C21" s="120"/>
      <c r="D21" s="120"/>
      <c r="E21" s="120"/>
      <c r="F21" s="317" t="s">
        <v>123</v>
      </c>
      <c r="G21" s="333">
        <v>64</v>
      </c>
      <c r="H21" s="334"/>
      <c r="I21" s="333">
        <v>20</v>
      </c>
      <c r="J21" s="334"/>
    </row>
    <row r="22" spans="1:10" s="3" customFormat="1" ht="12.75" customHeight="1">
      <c r="A22" s="277" t="s">
        <v>106</v>
      </c>
      <c r="B22" s="2"/>
      <c r="C22" s="120"/>
      <c r="D22" s="120"/>
      <c r="E22" s="120"/>
      <c r="F22" s="280" t="s">
        <v>108</v>
      </c>
      <c r="G22" s="335">
        <v>8</v>
      </c>
      <c r="H22" s="336"/>
      <c r="I22" s="337">
        <v>7</v>
      </c>
      <c r="J22" s="338"/>
    </row>
    <row r="23" spans="1:10" s="3" customFormat="1" ht="12.75" customHeight="1">
      <c r="A23" s="277" t="s">
        <v>109</v>
      </c>
      <c r="B23" s="2"/>
      <c r="C23" s="120"/>
      <c r="D23" s="120"/>
      <c r="E23" s="120"/>
      <c r="F23" s="281" t="s">
        <v>13</v>
      </c>
      <c r="G23" s="335">
        <v>83</v>
      </c>
      <c r="H23" s="336"/>
      <c r="I23" s="339">
        <f>100-G23</f>
        <v>17</v>
      </c>
      <c r="J23" s="340"/>
    </row>
    <row r="24" spans="1:10" s="3" customFormat="1" ht="3.75" customHeight="1">
      <c r="A24" s="279"/>
      <c r="B24" s="217"/>
      <c r="C24" s="278"/>
      <c r="D24" s="278"/>
      <c r="E24" s="278"/>
      <c r="F24" s="125"/>
      <c r="G24" s="282"/>
      <c r="H24" s="283"/>
      <c r="I24" s="328"/>
      <c r="J24" s="329"/>
    </row>
    <row r="25" s="3" customFormat="1" ht="12" customHeight="1"/>
    <row r="26" s="3" customFormat="1" ht="12.75" customHeight="1">
      <c r="A26" s="1" t="s">
        <v>113</v>
      </c>
    </row>
    <row r="27" s="3" customFormat="1" ht="3.75" customHeight="1"/>
    <row r="28" spans="1:9" s="3" customFormat="1" ht="12.75" customHeight="1">
      <c r="A28" s="275" t="s">
        <v>64</v>
      </c>
      <c r="B28" s="80"/>
      <c r="C28" s="276"/>
      <c r="D28" s="276"/>
      <c r="E28" s="276"/>
      <c r="F28" s="326" t="s">
        <v>123</v>
      </c>
      <c r="G28" s="330">
        <f>IF($C$20="omogeneo",G21,IF($C$20="alternanze",(IF(OR($F$20="A",$F$20="B"),G21,IF(OR($F$20="C",$F$20="D",$F$20="E"),(G21*$G$23+I21*$I$23)/100,IF($F$20="F",(G21*0.4+I21)/2,IF(OR($F$20="G",$F$20="H"),I21,"classe?"))))),"tipo ?"))</f>
        <v>56.52</v>
      </c>
      <c r="H28" s="2"/>
      <c r="I28" s="327">
        <f>IF(AND(OR(F20="C",F20="D",F20="E",F20="F",F20="G",F20="G",F20="H"),G23&gt;89),"Attenzione: classe A o B !",IF(AND(OR(F20="A",F20="B",F20="C",F20="D",F20="E",F20="F"),G23&lt;11),"Attenzione: classe G o H !",""))</f>
      </c>
    </row>
    <row r="29" spans="1:9" s="3" customFormat="1" ht="12.75" customHeight="1">
      <c r="A29" s="279" t="s">
        <v>106</v>
      </c>
      <c r="B29" s="217"/>
      <c r="C29" s="278"/>
      <c r="D29" s="278"/>
      <c r="E29" s="278"/>
      <c r="F29" s="316" t="s">
        <v>112</v>
      </c>
      <c r="G29" s="285">
        <f>IF($C$20="omogeneo",G22,IF($C$20="alternanze",(IF(OR($F$20="A",$F$20="B"),G22,IF(OR($F$20="C",$F$20="D",$F$20="E"),(G22*$G$23+I22*$I$23)/100,IF($F$20="F",(G22*0.4+I22)/2,IF(OR($F$20="G",$F$20="H"),I22,"classe?"))))),"tipo ?"))</f>
        <v>7.83</v>
      </c>
      <c r="H29" s="2"/>
      <c r="I29" s="327"/>
    </row>
    <row r="30" s="3" customFormat="1" ht="6" customHeight="1"/>
    <row r="31" s="3" customFormat="1" ht="7.5" customHeight="1"/>
    <row r="32" spans="1:11" s="3" customFormat="1" ht="12.75">
      <c r="A32" s="1" t="s">
        <v>8</v>
      </c>
      <c r="B32" s="2"/>
      <c r="C32" s="2"/>
      <c r="D32" s="2"/>
      <c r="E32" s="20"/>
      <c r="F32" s="21"/>
      <c r="G32" s="21"/>
      <c r="H32" s="2"/>
      <c r="I32" s="20"/>
      <c r="J32" s="21"/>
      <c r="K32" s="21"/>
    </row>
    <row r="33" spans="1:11" s="3" customFormat="1" ht="3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2" s="3" customFormat="1" ht="14.25">
      <c r="A34" s="28" t="s">
        <v>9</v>
      </c>
      <c r="B34" s="28" t="s">
        <v>10</v>
      </c>
      <c r="C34" s="9" t="s">
        <v>11</v>
      </c>
      <c r="D34" s="11" t="s">
        <v>9</v>
      </c>
      <c r="E34" s="121" t="s">
        <v>12</v>
      </c>
      <c r="F34" s="11"/>
      <c r="G34" s="11"/>
      <c r="H34" s="11" t="s">
        <v>24</v>
      </c>
      <c r="I34" s="121" t="s">
        <v>25</v>
      </c>
      <c r="J34" s="2"/>
      <c r="L34" s="2"/>
    </row>
    <row r="35" spans="1:12" s="3" customFormat="1" ht="12.75">
      <c r="A35" s="29" t="s">
        <v>13</v>
      </c>
      <c r="B35" s="29" t="s">
        <v>14</v>
      </c>
      <c r="C35" s="10" t="s">
        <v>14</v>
      </c>
      <c r="D35" s="2"/>
      <c r="E35" s="2"/>
      <c r="F35" s="2"/>
      <c r="G35" s="2"/>
      <c r="H35" s="2"/>
      <c r="I35" s="2"/>
      <c r="J35" s="24"/>
      <c r="L35" s="2"/>
    </row>
    <row r="36" spans="1:12" s="3" customFormat="1" ht="12" customHeight="1">
      <c r="A36" s="243"/>
      <c r="B36" s="243"/>
      <c r="C36" s="244"/>
      <c r="D36" s="11" t="s">
        <v>15</v>
      </c>
      <c r="E36" s="121" t="s">
        <v>16</v>
      </c>
      <c r="F36" s="11"/>
      <c r="G36" s="11"/>
      <c r="H36" s="11" t="s">
        <v>21</v>
      </c>
      <c r="I36" s="78" t="s">
        <v>26</v>
      </c>
      <c r="J36" s="24"/>
      <c r="L36" s="2"/>
    </row>
    <row r="37" spans="1:9" s="3" customFormat="1" ht="12.75">
      <c r="A37" s="143">
        <v>10</v>
      </c>
      <c r="B37" s="144">
        <v>1</v>
      </c>
      <c r="C37" s="145">
        <v>1</v>
      </c>
      <c r="D37" s="2"/>
      <c r="E37" s="2"/>
      <c r="F37" s="2"/>
      <c r="G37" s="2"/>
      <c r="H37" s="2"/>
      <c r="I37" s="2"/>
    </row>
    <row r="38" spans="1:7" s="2" customFormat="1" ht="14.25">
      <c r="A38" s="23"/>
      <c r="B38" s="24"/>
      <c r="C38" s="32"/>
      <c r="D38" s="11" t="s">
        <v>17</v>
      </c>
      <c r="E38" s="121" t="s">
        <v>18</v>
      </c>
      <c r="F38" s="11"/>
      <c r="G38" s="11"/>
    </row>
    <row r="39" spans="1:8" s="3" customFormat="1" ht="14.25">
      <c r="A39" s="28" t="s">
        <v>19</v>
      </c>
      <c r="B39" s="28" t="s">
        <v>20</v>
      </c>
      <c r="C39" s="9" t="s">
        <v>21</v>
      </c>
      <c r="D39" s="2"/>
      <c r="E39" s="2"/>
      <c r="F39" s="2"/>
      <c r="G39" s="2"/>
      <c r="H39" s="24"/>
    </row>
    <row r="40" spans="1:8" s="3" customFormat="1" ht="14.25">
      <c r="A40" s="29" t="s">
        <v>14</v>
      </c>
      <c r="B40" s="29" t="s">
        <v>14</v>
      </c>
      <c r="C40" s="10" t="s">
        <v>14</v>
      </c>
      <c r="D40" s="11" t="s">
        <v>22</v>
      </c>
      <c r="E40" s="121" t="s">
        <v>23</v>
      </c>
      <c r="F40" s="77"/>
      <c r="G40" s="122"/>
      <c r="H40" s="24"/>
    </row>
    <row r="41" spans="1:11" s="3" customFormat="1" ht="7.5" customHeight="1">
      <c r="A41" s="243"/>
      <c r="B41" s="245"/>
      <c r="C41" s="244"/>
      <c r="D41" s="24"/>
      <c r="E41" s="2"/>
      <c r="F41" s="2"/>
      <c r="G41" s="2"/>
      <c r="H41" s="2"/>
      <c r="I41" s="2"/>
      <c r="J41" s="53"/>
      <c r="K41" s="24"/>
    </row>
    <row r="42" spans="1:4" s="3" customFormat="1" ht="12.75">
      <c r="A42" s="144">
        <v>15</v>
      </c>
      <c r="B42" s="144">
        <v>5</v>
      </c>
      <c r="C42" s="146">
        <v>1</v>
      </c>
      <c r="D42" s="24"/>
    </row>
    <row r="43" spans="1:11" s="3" customFormat="1" ht="12.75" customHeight="1">
      <c r="A43" s="24"/>
      <c r="B43" s="24"/>
      <c r="C43" s="24"/>
      <c r="D43" s="24"/>
      <c r="E43" s="11"/>
      <c r="F43" s="78"/>
      <c r="G43" s="77"/>
      <c r="H43" s="122"/>
      <c r="I43" s="24"/>
      <c r="J43" s="53"/>
      <c r="K43" s="24"/>
    </row>
    <row r="44" spans="1:11" s="3" customFormat="1" ht="12.75">
      <c r="A44" s="341" t="s">
        <v>98</v>
      </c>
      <c r="B44" s="342"/>
      <c r="C44" s="342"/>
      <c r="D44" s="342"/>
      <c r="E44" s="343"/>
      <c r="F44" s="27"/>
      <c r="G44" s="27"/>
      <c r="H44" s="123"/>
      <c r="I44" s="24"/>
      <c r="J44" s="24"/>
      <c r="K44" s="24"/>
    </row>
    <row r="45" spans="1:12" s="3" customFormat="1" ht="12.75">
      <c r="A45" s="9" t="s">
        <v>29</v>
      </c>
      <c r="B45" s="28" t="s">
        <v>27</v>
      </c>
      <c r="C45" s="31" t="s">
        <v>28</v>
      </c>
      <c r="D45" s="59"/>
      <c r="E45" s="124"/>
      <c r="F45" s="27"/>
      <c r="G45" s="77" t="s">
        <v>29</v>
      </c>
      <c r="H45" s="79" t="s">
        <v>30</v>
      </c>
      <c r="I45" s="24"/>
      <c r="J45" s="24"/>
      <c r="K45" s="24"/>
      <c r="L45" s="11"/>
    </row>
    <row r="46" spans="1:12" s="3" customFormat="1" ht="12.75">
      <c r="A46" s="10" t="s">
        <v>14</v>
      </c>
      <c r="B46" s="29"/>
      <c r="C46" s="29"/>
      <c r="D46" s="61"/>
      <c r="E46" s="125"/>
      <c r="F46" s="27"/>
      <c r="G46" s="27"/>
      <c r="H46" s="79" t="s">
        <v>31</v>
      </c>
      <c r="I46" s="24"/>
      <c r="J46" s="24"/>
      <c r="K46" s="24"/>
      <c r="L46" s="22"/>
    </row>
    <row r="47" spans="1:12" s="3" customFormat="1" ht="13.5" customHeight="1">
      <c r="A47" s="119"/>
      <c r="B47" s="18"/>
      <c r="C47" s="18"/>
      <c r="D47" s="24"/>
      <c r="E47" s="7"/>
      <c r="F47" s="27"/>
      <c r="G47" s="27"/>
      <c r="H47" s="79" t="s">
        <v>32</v>
      </c>
      <c r="I47" s="24"/>
      <c r="J47" s="24"/>
      <c r="K47" s="24"/>
      <c r="L47" s="82"/>
    </row>
    <row r="48" spans="1:12" s="3" customFormat="1" ht="12.75">
      <c r="A48" s="187">
        <f>(A37/A42)*(B37/B42)</f>
        <v>0.13333333333333333</v>
      </c>
      <c r="B48" s="30" t="str">
        <f>IF(A48&lt;0.01,"G",IF(A48&lt;0.1,"F",IF(A48&lt;1,"E",IF(A48&lt;4,"D",IF(A48&lt;10,"C",IF(A48&lt;40,"B","A"))))))</f>
        <v>E</v>
      </c>
      <c r="C48" s="62" t="str">
        <f>IF(A48&lt;0.01,"eccezionalmente scadente",IF(A48&lt;0.1,"estremamente scadente",IF(A48&lt;1,"molto scadente",IF(A48&lt;4,"scadente",IF(A48&lt;10,"discreta",IF(A48&lt;40,"buona",IF(A48&lt;100,"molto buona",IF(A48&lt;400,"estremamente buona","eccezionalmente buona"))))))))</f>
        <v>molto scadente</v>
      </c>
      <c r="D48" s="63"/>
      <c r="E48" s="126"/>
      <c r="F48" s="27"/>
      <c r="G48" s="27"/>
      <c r="H48" s="79"/>
      <c r="I48" s="24"/>
      <c r="J48" s="24"/>
      <c r="K48" s="24"/>
      <c r="L48" s="242"/>
    </row>
    <row r="49" spans="1:11" s="3" customFormat="1" ht="6" customHeight="1">
      <c r="A49" s="127"/>
      <c r="B49" s="24"/>
      <c r="C49" s="64"/>
      <c r="D49" s="64"/>
      <c r="E49" s="21"/>
      <c r="F49" s="27"/>
      <c r="G49" s="27"/>
      <c r="H49" s="123"/>
      <c r="I49" s="24"/>
      <c r="J49" s="24"/>
      <c r="K49" s="24"/>
    </row>
    <row r="50" spans="1:11" s="3" customFormat="1" ht="9.75" customHeight="1">
      <c r="A50" s="25"/>
      <c r="B50" s="23"/>
      <c r="C50" s="26"/>
      <c r="D50" s="2"/>
      <c r="E50" s="27"/>
      <c r="F50" s="27"/>
      <c r="G50" s="27"/>
      <c r="H50" s="123"/>
      <c r="I50" s="24"/>
      <c r="J50" s="24"/>
      <c r="K50" s="24"/>
    </row>
    <row r="51" spans="1:11" s="3" customFormat="1" ht="12.75">
      <c r="A51" s="1" t="s">
        <v>33</v>
      </c>
      <c r="B51" s="23"/>
      <c r="C51" s="26"/>
      <c r="D51" s="2"/>
      <c r="E51" s="27"/>
      <c r="F51" s="27"/>
      <c r="G51" s="27"/>
      <c r="H51" s="123"/>
      <c r="I51" s="24"/>
      <c r="J51" s="24"/>
      <c r="K51" s="24"/>
    </row>
    <row r="52" spans="1:13" s="3" customFormat="1" ht="3.75" customHeight="1">
      <c r="A52" s="25"/>
      <c r="B52" s="23"/>
      <c r="C52" s="26"/>
      <c r="D52" s="2"/>
      <c r="E52" s="27"/>
      <c r="F52" s="27"/>
      <c r="G52" s="27"/>
      <c r="H52" s="123"/>
      <c r="I52" s="24"/>
      <c r="J52" s="24"/>
      <c r="K52" s="24"/>
      <c r="M52" s="160"/>
    </row>
    <row r="53" spans="1:13" s="3" customFormat="1" ht="17.25" customHeight="1">
      <c r="A53" s="39" t="s">
        <v>124</v>
      </c>
      <c r="B53" s="42"/>
      <c r="C53" s="42"/>
      <c r="D53" s="42"/>
      <c r="E53" s="42"/>
      <c r="F53" s="40" t="s">
        <v>34</v>
      </c>
      <c r="G53" s="27"/>
      <c r="H53" s="304">
        <f>G28</f>
        <v>56.52</v>
      </c>
      <c r="I53" s="305"/>
      <c r="J53" s="306"/>
      <c r="K53" s="24"/>
      <c r="L53" s="44">
        <f>ROUND(IF(H53&lt;50,1.0564729+0.090819*H53,IF(H53&lt;100,1.6284634+0.079345*H53,IF(H53&lt;240,-19.40563+6.3079436*LN(H53),15))),0)</f>
        <v>6</v>
      </c>
      <c r="M53" s="160"/>
    </row>
    <row r="54" spans="1:13" s="3" customFormat="1" ht="17.25" customHeight="1">
      <c r="A54" s="39" t="s">
        <v>35</v>
      </c>
      <c r="B54" s="42"/>
      <c r="C54" s="42"/>
      <c r="D54" s="42"/>
      <c r="E54" s="42"/>
      <c r="F54" s="40" t="s">
        <v>13</v>
      </c>
      <c r="G54" s="27"/>
      <c r="H54" s="304">
        <v>0</v>
      </c>
      <c r="I54" s="305"/>
      <c r="J54" s="306"/>
      <c r="K54" s="24"/>
      <c r="L54" s="44">
        <f>ROUND(IF(H54&lt;25,3+0.12*H54,IF(H54&lt;40,2+0.153846*H54,0.2*H54)),0)</f>
        <v>3</v>
      </c>
      <c r="M54" s="160"/>
    </row>
    <row r="55" spans="1:13" s="3" customFormat="1" ht="13.5" customHeight="1">
      <c r="A55" s="152" t="s">
        <v>36</v>
      </c>
      <c r="B55" s="153"/>
      <c r="C55" s="153"/>
      <c r="D55" s="153"/>
      <c r="E55" s="153"/>
      <c r="F55" s="157" t="s">
        <v>14</v>
      </c>
      <c r="G55" s="27"/>
      <c r="H55" s="158">
        <v>4</v>
      </c>
      <c r="I55" s="247"/>
      <c r="J55" s="248"/>
      <c r="K55" s="249">
        <f>H56*10</f>
        <v>60</v>
      </c>
      <c r="L55" s="163"/>
      <c r="M55" s="160"/>
    </row>
    <row r="56" spans="1:13" s="3" customFormat="1" ht="15" customHeight="1">
      <c r="A56" s="154" t="s">
        <v>37</v>
      </c>
      <c r="B56" s="155"/>
      <c r="C56" s="155"/>
      <c r="D56" s="156"/>
      <c r="E56" s="155"/>
      <c r="F56" s="50" t="s">
        <v>38</v>
      </c>
      <c r="G56" s="27"/>
      <c r="H56" s="261">
        <v>6</v>
      </c>
      <c r="I56" s="250"/>
      <c r="J56" s="251"/>
      <c r="K56" s="159">
        <f>ROUND(IF(K55&lt;200,5.2+0.014*K55,IF(K55&lt;520,6.125+0.009375*K55,IF(K55&lt;940,7.2857142+0.0071428*K55,IF(K55&lt;1600,8.3030303+0.0060606*K55,IF(K55&lt;2000,10+0.005*K55,20))))),0)</f>
        <v>6</v>
      </c>
      <c r="L56" s="10">
        <f>ROUND(IF(H55&lt;3,K56*1.3,K56),0)</f>
        <v>6</v>
      </c>
      <c r="M56" s="160"/>
    </row>
    <row r="57" spans="1:13" s="3" customFormat="1" ht="12.75">
      <c r="A57" s="35" t="s">
        <v>39</v>
      </c>
      <c r="B57" s="23"/>
      <c r="C57" s="24"/>
      <c r="D57" s="24"/>
      <c r="E57" s="32"/>
      <c r="F57" s="37"/>
      <c r="G57" s="27"/>
      <c r="H57" s="147"/>
      <c r="I57" s="252"/>
      <c r="J57" s="253"/>
      <c r="K57" s="24"/>
      <c r="L57" s="37"/>
      <c r="M57" s="160"/>
    </row>
    <row r="58" spans="1:13" s="3" customFormat="1" ht="12.75">
      <c r="A58" s="36"/>
      <c r="B58" s="33" t="s">
        <v>40</v>
      </c>
      <c r="C58" s="26"/>
      <c r="D58" s="128"/>
      <c r="E58" s="27"/>
      <c r="F58" s="38" t="s">
        <v>41</v>
      </c>
      <c r="G58" s="27"/>
      <c r="H58" s="148">
        <v>20</v>
      </c>
      <c r="I58" s="254"/>
      <c r="J58" s="253"/>
      <c r="K58" s="24"/>
      <c r="L58" s="49">
        <f>IF(H58&lt;0.75,6,IF(H58&lt;1.5,5,IF(H58&lt;2.5,4,IF(H58&lt;4.5,3,IF(H58&lt;10,2,IF(H58&lt;20,1,0))))))</f>
        <v>0</v>
      </c>
      <c r="M58" s="160"/>
    </row>
    <row r="59" spans="1:13" s="3" customFormat="1" ht="12.75">
      <c r="A59" s="36"/>
      <c r="B59" s="33" t="s">
        <v>42</v>
      </c>
      <c r="C59" s="26"/>
      <c r="D59" s="128"/>
      <c r="E59" s="27"/>
      <c r="F59" s="38" t="s">
        <v>43</v>
      </c>
      <c r="G59" s="27"/>
      <c r="H59" s="215">
        <v>10</v>
      </c>
      <c r="I59" s="252"/>
      <c r="J59" s="253"/>
      <c r="K59" s="24"/>
      <c r="L59" s="49">
        <f>IF(H59="chiuse",6,IF(H59&lt;0.1,5,IF(H59&lt;1,4,IF(H59&gt;5,0,1))))</f>
        <v>0</v>
      </c>
      <c r="M59" s="160"/>
    </row>
    <row r="60" spans="1:13" s="3" customFormat="1" ht="12.75">
      <c r="A60" s="36"/>
      <c r="B60" s="33" t="s">
        <v>44</v>
      </c>
      <c r="C60" s="26"/>
      <c r="D60" s="128"/>
      <c r="E60" s="27"/>
      <c r="F60" s="38" t="s">
        <v>14</v>
      </c>
      <c r="G60" s="27"/>
      <c r="H60" s="149" t="s">
        <v>131</v>
      </c>
      <c r="I60" s="255"/>
      <c r="J60" s="253"/>
      <c r="K60" s="24"/>
      <c r="L60" s="49">
        <f>IF(H60="molto rugose",6,IF(H60="rugose",5,IF(H60="debolmente rugose",3,IF(H60="lisce",1,IF(H60="lisciate",0,"errore")))))</f>
        <v>1</v>
      </c>
      <c r="M60" s="160"/>
    </row>
    <row r="61" spans="1:13" s="3" customFormat="1" ht="11.25" customHeight="1">
      <c r="A61" s="36"/>
      <c r="B61" s="33" t="s">
        <v>45</v>
      </c>
      <c r="C61" s="26"/>
      <c r="D61" s="128"/>
      <c r="E61" s="27"/>
      <c r="F61" s="38"/>
      <c r="G61" s="27"/>
      <c r="H61" s="147"/>
      <c r="I61" s="252"/>
      <c r="J61" s="253"/>
      <c r="K61" s="24"/>
      <c r="L61" s="37"/>
      <c r="M61" s="160"/>
    </row>
    <row r="62" spans="1:13" s="3" customFormat="1" ht="12.75">
      <c r="A62" s="36"/>
      <c r="B62" s="23"/>
      <c r="C62" s="34" t="s">
        <v>46</v>
      </c>
      <c r="D62" s="128"/>
      <c r="E62" s="27"/>
      <c r="F62" s="38" t="s">
        <v>14</v>
      </c>
      <c r="G62" s="27"/>
      <c r="H62" s="149" t="s">
        <v>136</v>
      </c>
      <c r="I62" s="255"/>
      <c r="J62" s="253"/>
      <c r="K62" s="24"/>
      <c r="L62" s="37"/>
      <c r="M62" s="160"/>
    </row>
    <row r="63" spans="1:13" s="3" customFormat="1" ht="12.75">
      <c r="A63" s="36"/>
      <c r="B63" s="23"/>
      <c r="C63" s="34" t="s">
        <v>47</v>
      </c>
      <c r="D63" s="128"/>
      <c r="E63" s="27"/>
      <c r="F63" s="38" t="s">
        <v>43</v>
      </c>
      <c r="G63" s="27"/>
      <c r="H63" s="148">
        <v>10</v>
      </c>
      <c r="I63" s="254"/>
      <c r="J63" s="253"/>
      <c r="K63" s="24"/>
      <c r="L63" s="49">
        <f>IF(H62="assente",6,IF(H62="duro",IF(H63&lt;5,4,IF(H63=5,3,2)),IF(H63&lt;5,2,IF(H63=5,1,0))))</f>
        <v>2</v>
      </c>
      <c r="M63" s="160"/>
    </row>
    <row r="64" spans="1:13" s="3" customFormat="1" ht="12.75">
      <c r="A64" s="54"/>
      <c r="B64" s="55" t="s">
        <v>48</v>
      </c>
      <c r="C64" s="56"/>
      <c r="D64" s="129"/>
      <c r="E64" s="57"/>
      <c r="F64" s="58" t="s">
        <v>14</v>
      </c>
      <c r="G64" s="27"/>
      <c r="H64" s="150" t="s">
        <v>141</v>
      </c>
      <c r="I64" s="256"/>
      <c r="J64" s="257"/>
      <c r="K64" s="24"/>
      <c r="L64" s="50">
        <f>IF(H64="inalterate",6,IF(H64="debolmente alterate",5,IF(H64="moderatamente alterate",3,IF(H64="fortemente alterate",1,IF(H64="decomposte",0,"errore")))))</f>
        <v>5</v>
      </c>
      <c r="M64" s="160"/>
    </row>
    <row r="65" spans="1:13" s="3" customFormat="1" ht="12.75">
      <c r="A65" s="45" t="s">
        <v>49</v>
      </c>
      <c r="B65" s="43"/>
      <c r="C65" s="46"/>
      <c r="D65" s="131"/>
      <c r="E65" s="41"/>
      <c r="F65" s="47" t="s">
        <v>14</v>
      </c>
      <c r="G65" s="27"/>
      <c r="H65" s="151" t="s">
        <v>50</v>
      </c>
      <c r="I65" s="258"/>
      <c r="J65" s="246"/>
      <c r="K65" s="24"/>
      <c r="L65" s="44">
        <f>IF(H65="asciutto",15,IF(H65="umido",10,IF(H65="bagnato",7,IF(H65="stillicidio",4,IF(H65="venute d'acqua",0,"errore")))))</f>
        <v>10</v>
      </c>
      <c r="M65" s="160"/>
    </row>
    <row r="66" spans="1:13" s="3" customFormat="1" ht="12" customHeight="1">
      <c r="A66" s="25"/>
      <c r="B66" s="23"/>
      <c r="C66" s="26"/>
      <c r="D66" s="2"/>
      <c r="E66" s="27"/>
      <c r="F66" s="27"/>
      <c r="G66" s="27"/>
      <c r="M66" s="160"/>
    </row>
    <row r="67" spans="1:13" s="3" customFormat="1" ht="12" customHeight="1">
      <c r="A67" s="25"/>
      <c r="B67" s="23"/>
      <c r="C67" s="26"/>
      <c r="D67" s="2"/>
      <c r="E67" s="27"/>
      <c r="F67" s="27"/>
      <c r="G67" s="27"/>
      <c r="H67" s="76" t="s">
        <v>99</v>
      </c>
      <c r="I67" s="130"/>
      <c r="J67" s="52"/>
      <c r="K67" s="205" t="s">
        <v>97</v>
      </c>
      <c r="L67" s="51">
        <f>SUM(L53:L64)+15</f>
        <v>38</v>
      </c>
      <c r="M67" s="160"/>
    </row>
    <row r="68" spans="1:13" s="3" customFormat="1" ht="3.75" customHeight="1">
      <c r="A68" s="206"/>
      <c r="B68" s="23"/>
      <c r="C68" s="26"/>
      <c r="D68" s="128"/>
      <c r="E68" s="27"/>
      <c r="F68" s="27"/>
      <c r="G68" s="27"/>
      <c r="H68" s="259"/>
      <c r="I68" s="259"/>
      <c r="J68" s="24"/>
      <c r="K68" s="24"/>
      <c r="L68" s="23"/>
      <c r="M68" s="160"/>
    </row>
    <row r="69" spans="1:7" s="3" customFormat="1" ht="4.5" customHeight="1">
      <c r="A69" s="25"/>
      <c r="B69" s="23"/>
      <c r="C69" s="26"/>
      <c r="D69" s="2"/>
      <c r="E69" s="27"/>
      <c r="F69" s="27"/>
      <c r="G69" s="27"/>
    </row>
    <row r="70" spans="1:11" s="3" customFormat="1" ht="12.75">
      <c r="A70" s="341" t="s">
        <v>98</v>
      </c>
      <c r="B70" s="342"/>
      <c r="C70" s="342"/>
      <c r="D70" s="342"/>
      <c r="E70" s="343"/>
      <c r="F70" s="27"/>
      <c r="G70" s="27"/>
      <c r="H70" s="123"/>
      <c r="I70" s="24"/>
      <c r="J70" s="23"/>
      <c r="K70" s="23"/>
    </row>
    <row r="71" spans="1:12" s="3" customFormat="1" ht="12.75">
      <c r="A71" s="9" t="s">
        <v>97</v>
      </c>
      <c r="B71" s="28" t="s">
        <v>27</v>
      </c>
      <c r="C71" s="31" t="s">
        <v>28</v>
      </c>
      <c r="D71" s="59"/>
      <c r="E71" s="124"/>
      <c r="G71" s="211" t="s">
        <v>104</v>
      </c>
      <c r="H71" s="212"/>
      <c r="I71" s="212"/>
      <c r="J71" s="170"/>
      <c r="K71" s="170"/>
      <c r="L71" s="124"/>
    </row>
    <row r="72" spans="1:12" s="3" customFormat="1" ht="10.5" customHeight="1">
      <c r="A72" s="10" t="s">
        <v>14</v>
      </c>
      <c r="B72" s="29"/>
      <c r="C72" s="29"/>
      <c r="D72" s="61"/>
      <c r="E72" s="125"/>
      <c r="G72" s="260"/>
      <c r="H72" s="217"/>
      <c r="I72" s="217"/>
      <c r="J72" s="217"/>
      <c r="K72" s="217"/>
      <c r="L72" s="125"/>
    </row>
    <row r="73" spans="1:12" s="3" customFormat="1" ht="12" customHeight="1">
      <c r="A73" s="119"/>
      <c r="B73" s="18"/>
      <c r="C73" s="18"/>
      <c r="D73" s="24"/>
      <c r="E73" s="7"/>
      <c r="G73" s="208" t="s">
        <v>91</v>
      </c>
      <c r="H73" s="80"/>
      <c r="I73" s="209"/>
      <c r="J73" s="213"/>
      <c r="K73" s="290" t="s">
        <v>51</v>
      </c>
      <c r="L73" s="214">
        <f>IF(A48&gt;0.1,L67-5,9*LN(A48)+44)</f>
        <v>33</v>
      </c>
    </row>
    <row r="74" spans="1:13" s="3" customFormat="1" ht="12" customHeight="1">
      <c r="A74" s="132">
        <f>L67</f>
        <v>38</v>
      </c>
      <c r="B74" s="30" t="str">
        <f>IF(A74&gt;80,"I",IF(A74&gt;60,"II",IF(A74&gt;40,"III",IF(A74&gt;20,"IV","V"))))</f>
        <v>IV</v>
      </c>
      <c r="C74" s="62" t="str">
        <f>IF(A74&gt;80,"molto buona",IF(A74&gt;60,"buona",IF(A74&gt;40,"discreta",IF(A74&gt;20,"scadente","molto scadente"))))</f>
        <v>scadente</v>
      </c>
      <c r="D74" s="63"/>
      <c r="E74" s="126"/>
      <c r="G74" s="210" t="s">
        <v>92</v>
      </c>
      <c r="H74" s="217"/>
      <c r="I74" s="219"/>
      <c r="J74" s="220"/>
      <c r="K74" s="221" t="s">
        <v>85</v>
      </c>
      <c r="L74" s="132">
        <f>ROUND((1.0958*L73-0.0055*L73^2),0)</f>
        <v>30</v>
      </c>
      <c r="M74" s="207">
        <f>1.154*L73-0.006*L73^2-1.027</f>
        <v>30.520999999999994</v>
      </c>
    </row>
    <row r="75" spans="1:11" s="3" customFormat="1" ht="10.5" customHeight="1">
      <c r="A75" s="186"/>
      <c r="B75" s="24"/>
      <c r="C75" s="64"/>
      <c r="D75" s="64"/>
      <c r="E75" s="21"/>
      <c r="J75" s="48"/>
      <c r="K75" s="48"/>
    </row>
    <row r="76" spans="10:12" s="3" customFormat="1" ht="10.5" customHeight="1">
      <c r="J76" s="48"/>
      <c r="K76" s="48"/>
      <c r="L76" s="48"/>
    </row>
    <row r="77" spans="10:20" s="3" customFormat="1" ht="10.5" customHeight="1">
      <c r="J77" s="48"/>
      <c r="K77" s="48"/>
      <c r="L77" s="48"/>
      <c r="O77" s="152" t="s">
        <v>52</v>
      </c>
      <c r="P77" s="66"/>
      <c r="Q77" s="66"/>
      <c r="R77" s="152" t="s">
        <v>53</v>
      </c>
      <c r="S77" s="66"/>
      <c r="T77" s="67"/>
    </row>
    <row r="78" spans="10:20" s="3" customFormat="1" ht="10.5" customHeight="1">
      <c r="J78" s="48"/>
      <c r="K78" s="48"/>
      <c r="L78" s="48"/>
      <c r="O78" s="68" t="s">
        <v>54</v>
      </c>
      <c r="P78" s="16"/>
      <c r="Q78" s="16"/>
      <c r="R78" s="68" t="s">
        <v>55</v>
      </c>
      <c r="S78" s="16"/>
      <c r="T78" s="69"/>
    </row>
    <row r="79" spans="10:20" s="3" customFormat="1" ht="10.5" customHeight="1">
      <c r="J79" s="48"/>
      <c r="K79" s="48"/>
      <c r="L79" s="48"/>
      <c r="O79" s="70"/>
      <c r="P79" s="16"/>
      <c r="Q79" s="2"/>
      <c r="R79" s="68"/>
      <c r="S79" s="16"/>
      <c r="T79" s="69"/>
    </row>
    <row r="80" spans="10:20" s="3" customFormat="1" ht="10.5" customHeight="1">
      <c r="J80" s="48"/>
      <c r="K80" s="48"/>
      <c r="L80" s="48"/>
      <c r="O80" s="60" t="s">
        <v>29</v>
      </c>
      <c r="P80" s="22" t="s">
        <v>51</v>
      </c>
      <c r="Q80" s="22"/>
      <c r="R80" s="60" t="s">
        <v>51</v>
      </c>
      <c r="S80" s="22"/>
      <c r="T80" s="69"/>
    </row>
    <row r="81" spans="10:20" s="3" customFormat="1" ht="10.5" customHeight="1">
      <c r="J81" s="48"/>
      <c r="K81" s="48"/>
      <c r="L81" s="48"/>
      <c r="O81" s="60" t="s">
        <v>14</v>
      </c>
      <c r="P81" s="22" t="s">
        <v>14</v>
      </c>
      <c r="Q81" s="22"/>
      <c r="R81" s="60" t="s">
        <v>14</v>
      </c>
      <c r="S81" s="22"/>
      <c r="T81" s="69"/>
    </row>
    <row r="82" spans="10:20" s="3" customFormat="1" ht="10.5" customHeight="1">
      <c r="J82" s="48"/>
      <c r="K82" s="48"/>
      <c r="L82" s="48"/>
      <c r="O82" s="60">
        <v>0.001</v>
      </c>
      <c r="P82" s="24">
        <f aca="true" t="shared" si="0" ref="P82:P88">9*LN(O82)+44</f>
        <v>-18.16979751083923</v>
      </c>
      <c r="Q82" s="22"/>
      <c r="R82" s="18">
        <f aca="true" t="shared" si="1" ref="R82:R88">10*LN(O82)+32</f>
        <v>-37.07755278982137</v>
      </c>
      <c r="S82" s="24"/>
      <c r="T82" s="69"/>
    </row>
    <row r="83" spans="10:20" s="3" customFormat="1" ht="10.5" customHeight="1">
      <c r="J83" s="48"/>
      <c r="K83" s="48"/>
      <c r="L83" s="48"/>
      <c r="O83" s="60">
        <v>0.01</v>
      </c>
      <c r="P83" s="24">
        <f t="shared" si="0"/>
        <v>2.553468326107179</v>
      </c>
      <c r="Q83" s="22"/>
      <c r="R83" s="18">
        <f t="shared" si="1"/>
        <v>-14.051701859880907</v>
      </c>
      <c r="S83" s="24"/>
      <c r="T83" s="7"/>
    </row>
    <row r="84" spans="10:20" s="3" customFormat="1" ht="10.5" customHeight="1">
      <c r="J84" s="48"/>
      <c r="K84" s="48"/>
      <c r="L84" s="48"/>
      <c r="O84" s="60">
        <v>0.1</v>
      </c>
      <c r="P84" s="24">
        <f t="shared" si="0"/>
        <v>23.27673416305359</v>
      </c>
      <c r="Q84" s="22"/>
      <c r="R84" s="18">
        <f t="shared" si="1"/>
        <v>8.974149070059546</v>
      </c>
      <c r="S84" s="24"/>
      <c r="T84" s="7"/>
    </row>
    <row r="85" spans="10:20" s="3" customFormat="1" ht="10.5" customHeight="1">
      <c r="J85" s="48"/>
      <c r="K85" s="48"/>
      <c r="L85" s="48"/>
      <c r="O85" s="60">
        <v>1</v>
      </c>
      <c r="P85" s="24">
        <f t="shared" si="0"/>
        <v>44</v>
      </c>
      <c r="Q85" s="22"/>
      <c r="R85" s="18">
        <f t="shared" si="1"/>
        <v>32</v>
      </c>
      <c r="S85" s="24"/>
      <c r="T85" s="7"/>
    </row>
    <row r="86" spans="10:20" s="3" customFormat="1" ht="10.5" customHeight="1">
      <c r="J86" s="48"/>
      <c r="K86" s="48"/>
      <c r="L86" s="48"/>
      <c r="O86" s="60">
        <v>10</v>
      </c>
      <c r="P86" s="24">
        <f t="shared" si="0"/>
        <v>64.72326583694641</v>
      </c>
      <c r="Q86" s="22"/>
      <c r="R86" s="18">
        <f t="shared" si="1"/>
        <v>55.02585092994046</v>
      </c>
      <c r="S86" s="24"/>
      <c r="T86" s="7"/>
    </row>
    <row r="87" spans="10:20" s="3" customFormat="1" ht="10.5" customHeight="1">
      <c r="J87" s="48"/>
      <c r="K87" s="48"/>
      <c r="L87" s="48"/>
      <c r="O87" s="60">
        <v>100</v>
      </c>
      <c r="P87" s="24">
        <f t="shared" si="0"/>
        <v>85.44653167389282</v>
      </c>
      <c r="Q87" s="22"/>
      <c r="R87" s="18">
        <f t="shared" si="1"/>
        <v>78.05170185988092</v>
      </c>
      <c r="S87" s="24"/>
      <c r="T87" s="7"/>
    </row>
    <row r="88" spans="10:20" s="3" customFormat="1" ht="10.5" customHeight="1">
      <c r="J88" s="48"/>
      <c r="K88" s="48"/>
      <c r="L88" s="48"/>
      <c r="O88" s="29">
        <v>1000</v>
      </c>
      <c r="P88" s="133">
        <f t="shared" si="0"/>
        <v>106.16979751083923</v>
      </c>
      <c r="Q88" s="61"/>
      <c r="R88" s="30">
        <f t="shared" si="1"/>
        <v>101.07755278982137</v>
      </c>
      <c r="S88" s="133"/>
      <c r="T88" s="125"/>
    </row>
    <row r="89" spans="10:12" s="3" customFormat="1" ht="10.5" customHeight="1">
      <c r="J89" s="48"/>
      <c r="K89" s="48"/>
      <c r="L89" s="48"/>
    </row>
    <row r="90" spans="10:16" s="3" customFormat="1" ht="10.5" customHeight="1">
      <c r="J90" s="48"/>
      <c r="K90" s="48"/>
      <c r="L90" s="48"/>
      <c r="O90" s="71" t="s">
        <v>29</v>
      </c>
      <c r="P90" s="72" t="s">
        <v>51</v>
      </c>
    </row>
    <row r="91" spans="10:16" s="3" customFormat="1" ht="10.5" customHeight="1">
      <c r="J91" s="48"/>
      <c r="K91" s="48"/>
      <c r="L91" s="48"/>
      <c r="O91" s="60" t="s">
        <v>14</v>
      </c>
      <c r="P91" s="73" t="s">
        <v>14</v>
      </c>
    </row>
    <row r="92" spans="10:16" s="3" customFormat="1" ht="10.5" customHeight="1">
      <c r="J92" s="48"/>
      <c r="K92" s="48"/>
      <c r="O92" s="74">
        <f>A48</f>
        <v>0.13333333333333333</v>
      </c>
      <c r="P92" s="75">
        <f>L73</f>
        <v>33</v>
      </c>
    </row>
    <row r="93" spans="10:11" s="3" customFormat="1" ht="10.5" customHeight="1">
      <c r="J93" s="48"/>
      <c r="K93" s="48"/>
    </row>
    <row r="94" spans="10:11" s="3" customFormat="1" ht="10.5" customHeight="1">
      <c r="J94" s="48"/>
      <c r="K94" s="48"/>
    </row>
    <row r="95" spans="10:11" s="3" customFormat="1" ht="10.5" customHeight="1">
      <c r="J95" s="48"/>
      <c r="K95" s="48"/>
    </row>
    <row r="96" spans="10:11" s="3" customFormat="1" ht="10.5" customHeight="1">
      <c r="J96" s="48"/>
      <c r="K96" s="48"/>
    </row>
    <row r="97" spans="10:11" s="3" customFormat="1" ht="10.5" customHeight="1">
      <c r="J97" s="48"/>
      <c r="K97" s="48"/>
    </row>
    <row r="98" spans="10:11" s="3" customFormat="1" ht="10.5" customHeight="1">
      <c r="J98" s="48"/>
      <c r="K98" s="48"/>
    </row>
    <row r="99" spans="10:11" s="3" customFormat="1" ht="10.5" customHeight="1">
      <c r="J99" s="48"/>
      <c r="K99" s="48"/>
    </row>
    <row r="100" spans="10:11" s="3" customFormat="1" ht="10.5" customHeight="1">
      <c r="J100" s="48"/>
      <c r="K100" s="48"/>
    </row>
    <row r="101" spans="10:11" s="3" customFormat="1" ht="10.5" customHeight="1">
      <c r="J101" s="48"/>
      <c r="K101" s="48"/>
    </row>
    <row r="102" spans="10:11" s="3" customFormat="1" ht="10.5" customHeight="1">
      <c r="J102" s="48"/>
      <c r="K102" s="48"/>
    </row>
    <row r="103" spans="10:11" s="3" customFormat="1" ht="10.5" customHeight="1">
      <c r="J103" s="48"/>
      <c r="K103" s="48"/>
    </row>
    <row r="104" spans="10:11" s="3" customFormat="1" ht="10.5" customHeight="1">
      <c r="J104" s="48"/>
      <c r="K104" s="48"/>
    </row>
    <row r="105" spans="10:11" s="3" customFormat="1" ht="10.5" customHeight="1">
      <c r="J105" s="48"/>
      <c r="K105" s="48"/>
    </row>
    <row r="106" spans="1:11" s="3" customFormat="1" ht="10.5" customHeight="1">
      <c r="A106" s="76" t="s">
        <v>56</v>
      </c>
      <c r="B106" s="76"/>
      <c r="C106" s="76"/>
      <c r="J106" s="48"/>
      <c r="K106" s="48"/>
    </row>
    <row r="107" spans="1:11" s="3" customFormat="1" ht="10.5" customHeight="1">
      <c r="A107" s="76"/>
      <c r="B107" s="76"/>
      <c r="C107" s="76"/>
      <c r="J107" s="48"/>
      <c r="K107" s="48"/>
    </row>
    <row r="108" spans="10:11" s="3" customFormat="1" ht="10.5" customHeight="1">
      <c r="J108" s="48"/>
      <c r="K108" s="48"/>
    </row>
    <row r="109" spans="1:11" s="3" customFormat="1" ht="10.5" customHeight="1">
      <c r="A109" s="76" t="s">
        <v>57</v>
      </c>
      <c r="J109" s="48"/>
      <c r="K109" s="48"/>
    </row>
    <row r="110" spans="1:11" s="3" customFormat="1" ht="2.25" customHeight="1">
      <c r="A110" s="79"/>
      <c r="J110" s="48"/>
      <c r="K110" s="48"/>
    </row>
    <row r="111" spans="1:11" s="3" customFormat="1" ht="15.75">
      <c r="A111" s="238" t="s">
        <v>128</v>
      </c>
      <c r="B111" s="239"/>
      <c r="C111" s="239"/>
      <c r="D111" s="239"/>
      <c r="J111" s="48"/>
      <c r="K111" s="48"/>
    </row>
    <row r="112" spans="1:11" s="3" customFormat="1" ht="7.5" customHeight="1">
      <c r="A112" s="79"/>
      <c r="J112" s="48"/>
      <c r="K112" s="48"/>
    </row>
    <row r="113" spans="1:11" s="3" customFormat="1" ht="12.75">
      <c r="A113" s="86" t="s">
        <v>58</v>
      </c>
      <c r="B113" s="169"/>
      <c r="C113" s="165"/>
      <c r="D113" s="165"/>
      <c r="E113" s="165"/>
      <c r="F113" s="165"/>
      <c r="G113" s="165"/>
      <c r="H113" s="165"/>
      <c r="I113" s="165"/>
      <c r="J113" s="87"/>
      <c r="K113" s="48"/>
    </row>
    <row r="114" spans="1:11" s="3" customFormat="1" ht="14.25">
      <c r="A114" s="65" t="s">
        <v>59</v>
      </c>
      <c r="B114" s="66"/>
      <c r="C114" s="66"/>
      <c r="D114" s="66"/>
      <c r="E114" s="66"/>
      <c r="F114" s="66"/>
      <c r="G114" s="66"/>
      <c r="H114" s="5"/>
      <c r="I114" s="234" t="s">
        <v>121</v>
      </c>
      <c r="J114" s="233">
        <f>G28</f>
        <v>56.52</v>
      </c>
      <c r="K114" s="48"/>
    </row>
    <row r="115" spans="1:11" s="3" customFormat="1" ht="14.25">
      <c r="A115" s="68" t="s">
        <v>86</v>
      </c>
      <c r="B115" s="16"/>
      <c r="C115" s="16"/>
      <c r="D115" s="16"/>
      <c r="E115" s="16"/>
      <c r="F115" s="16"/>
      <c r="G115" s="16"/>
      <c r="H115" s="7"/>
      <c r="I115" s="235" t="s">
        <v>122</v>
      </c>
      <c r="J115" s="236">
        <f>J114/2*((J116^2+4)^0.5-J116)</f>
        <v>7.104343763944569</v>
      </c>
      <c r="K115" s="48"/>
    </row>
    <row r="116" spans="1:11" s="3" customFormat="1" ht="14.25">
      <c r="A116" s="216" t="s">
        <v>60</v>
      </c>
      <c r="B116" s="284"/>
      <c r="C116" s="284"/>
      <c r="D116" s="284"/>
      <c r="E116" s="284"/>
      <c r="F116" s="284"/>
      <c r="G116" s="284"/>
      <c r="H116" s="125"/>
      <c r="I116" s="232" t="s">
        <v>61</v>
      </c>
      <c r="J116" s="81">
        <f>G29</f>
        <v>7.83</v>
      </c>
      <c r="K116" s="48"/>
    </row>
    <row r="117" spans="1:11" s="3" customFormat="1" ht="12.75">
      <c r="A117" s="16"/>
      <c r="B117" s="16"/>
      <c r="C117" s="16"/>
      <c r="D117" s="16"/>
      <c r="E117" s="16"/>
      <c r="F117" s="16"/>
      <c r="G117" s="16"/>
      <c r="H117" s="2"/>
      <c r="I117" s="11"/>
      <c r="J117" s="22"/>
      <c r="K117" s="48"/>
    </row>
    <row r="118" spans="1:11" s="3" customFormat="1" ht="12.75">
      <c r="A118" s="311" t="s">
        <v>118</v>
      </c>
      <c r="B118" s="312"/>
      <c r="C118" s="312"/>
      <c r="D118" s="312"/>
      <c r="E118" s="312"/>
      <c r="F118" s="312"/>
      <c r="G118" s="312"/>
      <c r="H118" s="313"/>
      <c r="I118" s="314" t="s">
        <v>119</v>
      </c>
      <c r="J118" s="315">
        <v>0</v>
      </c>
      <c r="K118" s="48"/>
    </row>
    <row r="119" spans="1:11" s="3" customFormat="1" ht="12.75">
      <c r="A119" s="16"/>
      <c r="B119" s="16"/>
      <c r="C119" s="16"/>
      <c r="D119" s="16"/>
      <c r="E119" s="16"/>
      <c r="F119" s="16"/>
      <c r="G119" s="16"/>
      <c r="H119" s="2"/>
      <c r="I119" s="11"/>
      <c r="J119" s="22"/>
      <c r="K119" s="48"/>
    </row>
    <row r="120" spans="1:11" s="3" customFormat="1" ht="12.75">
      <c r="A120" s="86" t="s">
        <v>89</v>
      </c>
      <c r="B120" s="164"/>
      <c r="C120" s="164"/>
      <c r="D120" s="164"/>
      <c r="E120" s="164"/>
      <c r="F120" s="164"/>
      <c r="G120" s="164"/>
      <c r="H120" s="165"/>
      <c r="I120" s="166"/>
      <c r="J120" s="168"/>
      <c r="K120" s="48"/>
    </row>
    <row r="121" spans="1:11" s="3" customFormat="1" ht="14.25">
      <c r="A121" s="65" t="s">
        <v>62</v>
      </c>
      <c r="B121" s="80"/>
      <c r="C121" s="80"/>
      <c r="D121" s="80"/>
      <c r="E121" s="80"/>
      <c r="F121" s="80"/>
      <c r="G121" s="80"/>
      <c r="H121" s="5"/>
      <c r="I121" s="9" t="s">
        <v>125</v>
      </c>
      <c r="J121" s="83">
        <f>$J$116*EXP(($L$73-100)/(28-14*$J$118))</f>
        <v>0.7154134634559011</v>
      </c>
      <c r="K121" s="48"/>
    </row>
    <row r="122" spans="1:11" s="3" customFormat="1" ht="12.75">
      <c r="A122" s="68"/>
      <c r="B122" s="2"/>
      <c r="C122" s="2"/>
      <c r="D122" s="2"/>
      <c r="E122" s="2"/>
      <c r="F122" s="2"/>
      <c r="G122" s="2"/>
      <c r="H122" s="7"/>
      <c r="I122" s="162" t="s">
        <v>63</v>
      </c>
      <c r="J122" s="240">
        <f>EXP(($L$73-100)/(9-3*$J$118))</f>
        <v>0.000584680832876515</v>
      </c>
      <c r="K122" s="48"/>
    </row>
    <row r="123" spans="1:11" s="3" customFormat="1" ht="12.75">
      <c r="A123" s="68"/>
      <c r="B123" s="2"/>
      <c r="C123" s="2"/>
      <c r="D123" s="2"/>
      <c r="E123" s="2"/>
      <c r="F123" s="2"/>
      <c r="G123" s="2"/>
      <c r="H123" s="7"/>
      <c r="I123" s="162" t="s">
        <v>84</v>
      </c>
      <c r="J123" s="301">
        <f>0.5+(2.718^(-$L$73/15)-2.718^(-20/3))/6</f>
        <v>0.518259153709567</v>
      </c>
      <c r="K123" s="48"/>
    </row>
    <row r="124" spans="1:11" s="3" customFormat="1" ht="14.25">
      <c r="A124" s="65" t="s">
        <v>88</v>
      </c>
      <c r="B124" s="66"/>
      <c r="C124" s="66"/>
      <c r="D124" s="66"/>
      <c r="E124" s="66"/>
      <c r="F124" s="66"/>
      <c r="G124" s="66"/>
      <c r="H124" s="5"/>
      <c r="I124" s="234" t="s">
        <v>87</v>
      </c>
      <c r="J124" s="231">
        <f>$J$114*J122/J121</f>
        <v>0.04619169523948669</v>
      </c>
      <c r="K124" s="48"/>
    </row>
    <row r="125" spans="1:11" s="3" customFormat="1" ht="14.25">
      <c r="A125" s="68" t="s">
        <v>64</v>
      </c>
      <c r="B125" s="2"/>
      <c r="C125" s="2"/>
      <c r="D125" s="2"/>
      <c r="E125" s="2"/>
      <c r="F125" s="2"/>
      <c r="G125" s="2"/>
      <c r="H125" s="7"/>
      <c r="I125" s="235" t="s">
        <v>126</v>
      </c>
      <c r="J125" s="119">
        <f>$J$114*J122^J123</f>
        <v>1.19296652141202</v>
      </c>
      <c r="K125" s="48"/>
    </row>
    <row r="126" spans="1:11" s="3" customFormat="1" ht="14.25">
      <c r="A126" s="216" t="s">
        <v>100</v>
      </c>
      <c r="B126" s="217"/>
      <c r="C126" s="217"/>
      <c r="D126" s="217"/>
      <c r="E126" s="217"/>
      <c r="F126" s="217"/>
      <c r="G126" s="217"/>
      <c r="H126" s="125"/>
      <c r="I126" s="268" t="s">
        <v>101</v>
      </c>
      <c r="J126" s="118">
        <f>($J$114*((J121+4*J122-J123*(J121-8*J122))*(J121/(4+J122))^(J123-1))/(2*(1+J123)*(2+J123)))</f>
        <v>5.9182098000779995</v>
      </c>
      <c r="K126" s="48"/>
    </row>
    <row r="127" spans="1:11" s="3" customFormat="1" ht="12.75">
      <c r="A127" s="16"/>
      <c r="B127" s="2"/>
      <c r="C127" s="2"/>
      <c r="D127" s="2"/>
      <c r="E127" s="2"/>
      <c r="F127" s="2"/>
      <c r="G127" s="2"/>
      <c r="H127" s="2"/>
      <c r="I127" s="11"/>
      <c r="J127" s="24"/>
      <c r="K127" s="48"/>
    </row>
    <row r="128" spans="1:11" s="3" customFormat="1" ht="12.75">
      <c r="A128" s="86" t="s">
        <v>90</v>
      </c>
      <c r="B128" s="164"/>
      <c r="C128" s="164"/>
      <c r="D128" s="164"/>
      <c r="E128" s="164"/>
      <c r="F128" s="165"/>
      <c r="G128" s="165"/>
      <c r="H128" s="165"/>
      <c r="I128" s="166"/>
      <c r="J128" s="167"/>
      <c r="K128" s="48"/>
    </row>
    <row r="129" spans="1:11" s="3" customFormat="1" ht="14.25">
      <c r="A129" s="65" t="s">
        <v>65</v>
      </c>
      <c r="B129" s="80"/>
      <c r="C129" s="80"/>
      <c r="D129" s="80"/>
      <c r="E129" s="80"/>
      <c r="F129" s="80"/>
      <c r="G129" s="80"/>
      <c r="H129" s="5"/>
      <c r="I129" s="9" t="s">
        <v>125</v>
      </c>
      <c r="J129" s="83">
        <f>$J$116*EXP(($L$74-100)/(28-14*$J$118))</f>
        <v>0.6427255392251277</v>
      </c>
      <c r="K129" s="48"/>
    </row>
    <row r="130" spans="1:11" s="3" customFormat="1" ht="12.75">
      <c r="A130" s="68"/>
      <c r="B130" s="2"/>
      <c r="C130" s="2"/>
      <c r="D130" s="2"/>
      <c r="E130" s="2"/>
      <c r="F130" s="2"/>
      <c r="G130" s="2"/>
      <c r="H130" s="7"/>
      <c r="I130" s="162" t="s">
        <v>63</v>
      </c>
      <c r="J130" s="240">
        <f>EXP(($L$74-100)/(9-3*$J$118))</f>
        <v>0.0004189421234483841</v>
      </c>
      <c r="K130" s="48"/>
    </row>
    <row r="131" spans="1:11" s="3" customFormat="1" ht="12.75">
      <c r="A131" s="68"/>
      <c r="B131" s="2"/>
      <c r="C131" s="2"/>
      <c r="D131" s="2"/>
      <c r="E131" s="2"/>
      <c r="F131" s="2"/>
      <c r="G131" s="2"/>
      <c r="H131" s="7"/>
      <c r="I131" s="162" t="s">
        <v>84</v>
      </c>
      <c r="J131" s="301">
        <f>0.5+(2.718^(-$L$74/15)-2.718^(-20/3))/6</f>
        <v>0.5223483061068095</v>
      </c>
      <c r="K131" s="48"/>
    </row>
    <row r="132" spans="1:11" s="3" customFormat="1" ht="14.25">
      <c r="A132" s="65" t="s">
        <v>88</v>
      </c>
      <c r="B132" s="66"/>
      <c r="C132" s="66"/>
      <c r="D132" s="66"/>
      <c r="E132" s="66"/>
      <c r="F132" s="66"/>
      <c r="G132" s="66"/>
      <c r="H132" s="5"/>
      <c r="I132" s="234" t="s">
        <v>87</v>
      </c>
      <c r="J132" s="231">
        <f>J114*J130/J129</f>
        <v>0.03684093345014684</v>
      </c>
      <c r="K132" s="48"/>
    </row>
    <row r="133" spans="1:11" s="3" customFormat="1" ht="14.25">
      <c r="A133" s="68" t="s">
        <v>64</v>
      </c>
      <c r="B133" s="2"/>
      <c r="C133" s="2"/>
      <c r="D133" s="2"/>
      <c r="E133" s="2"/>
      <c r="F133" s="2"/>
      <c r="G133" s="2"/>
      <c r="H133" s="267"/>
      <c r="I133" s="235" t="s">
        <v>126</v>
      </c>
      <c r="J133" s="119">
        <f>$J$114*J130^J131</f>
        <v>0.972277044739981</v>
      </c>
      <c r="K133" s="48"/>
    </row>
    <row r="134" spans="1:11" s="3" customFormat="1" ht="14.25">
      <c r="A134" s="216" t="s">
        <v>100</v>
      </c>
      <c r="B134" s="217"/>
      <c r="C134" s="217"/>
      <c r="D134" s="217"/>
      <c r="E134" s="217"/>
      <c r="F134" s="217"/>
      <c r="G134" s="217"/>
      <c r="H134" s="237"/>
      <c r="I134" s="268" t="s">
        <v>101</v>
      </c>
      <c r="J134" s="118">
        <f>($J$114*((J129+4*J130-J131*(J129-8*J130))*(J129/(4+J130))^(J131-1))/(2*(1+J131)*(2+J131)))</f>
        <v>5.47146861112503</v>
      </c>
      <c r="K134" s="48"/>
    </row>
    <row r="135" spans="1:11" s="3" customFormat="1" ht="15.75" customHeight="1">
      <c r="A135" s="16"/>
      <c r="B135" s="2"/>
      <c r="C135" s="2"/>
      <c r="D135" s="2"/>
      <c r="E135" s="2"/>
      <c r="F135" s="2"/>
      <c r="G135" s="2"/>
      <c r="I135" s="84"/>
      <c r="J135" s="23"/>
      <c r="K135" s="48"/>
    </row>
    <row r="136" spans="1:11" s="3" customFormat="1" ht="12.75">
      <c r="A136" s="76" t="s">
        <v>66</v>
      </c>
      <c r="B136" s="2"/>
      <c r="C136" s="2"/>
      <c r="D136" s="2"/>
      <c r="E136" s="2"/>
      <c r="F136" s="2"/>
      <c r="G136" s="2"/>
      <c r="I136" s="2"/>
      <c r="J136" s="2"/>
      <c r="K136" s="48"/>
    </row>
    <row r="137" spans="1:11" s="3" customFormat="1" ht="12.75">
      <c r="A137" s="16" t="s">
        <v>102</v>
      </c>
      <c r="B137" s="2"/>
      <c r="C137" s="2"/>
      <c r="D137" s="2"/>
      <c r="E137" s="2"/>
      <c r="F137" s="2"/>
      <c r="G137" s="2"/>
      <c r="I137" s="2"/>
      <c r="J137" s="2"/>
      <c r="K137" s="48"/>
    </row>
    <row r="138" spans="1:11" s="3" customFormat="1" ht="5.25" customHeight="1">
      <c r="A138" s="2"/>
      <c r="B138" s="2"/>
      <c r="C138" s="2"/>
      <c r="D138" s="2"/>
      <c r="E138" s="2"/>
      <c r="F138" s="2"/>
      <c r="G138" s="2"/>
      <c r="I138" s="2"/>
      <c r="J138" s="2"/>
      <c r="K138" s="48"/>
    </row>
    <row r="139" spans="1:11" s="3" customFormat="1" ht="14.25">
      <c r="A139" s="65" t="s">
        <v>91</v>
      </c>
      <c r="B139" s="80"/>
      <c r="C139" s="80"/>
      <c r="D139" s="80"/>
      <c r="E139" s="80"/>
      <c r="F139" s="80"/>
      <c r="G139" s="80"/>
      <c r="H139" s="80"/>
      <c r="I139" s="28" t="s">
        <v>127</v>
      </c>
      <c r="J139" s="83">
        <f>IF(H53&lt;100,(1-$J$118/2)*(SQRT(H53/100))*10^((L73-10)/40),(1-$J$118/2)*10^((L73-10)/40))</f>
        <v>2.8255375067777475</v>
      </c>
      <c r="K139" s="48"/>
    </row>
    <row r="140" spans="1:11" s="3" customFormat="1" ht="14.25">
      <c r="A140" s="216" t="s">
        <v>92</v>
      </c>
      <c r="B140" s="217"/>
      <c r="C140" s="217"/>
      <c r="D140" s="217"/>
      <c r="E140" s="217"/>
      <c r="F140" s="217"/>
      <c r="G140" s="217"/>
      <c r="H140" s="217"/>
      <c r="I140" s="218" t="s">
        <v>127</v>
      </c>
      <c r="J140" s="118">
        <f>IF(H53&lt;100,(1-$J$118/2)*(SQRT(H53/100))*10^((L74-10)/40),(1-$J$118/2)*10^((L74-10)/40))</f>
        <v>2.377393530739074</v>
      </c>
      <c r="K140" s="48"/>
    </row>
    <row r="141" spans="1:11" s="3" customFormat="1" ht="12.75">
      <c r="A141" s="16"/>
      <c r="B141" s="2"/>
      <c r="C141" s="2"/>
      <c r="D141" s="2"/>
      <c r="E141" s="2"/>
      <c r="F141" s="2"/>
      <c r="G141" s="2"/>
      <c r="H141" s="2"/>
      <c r="I141" s="11"/>
      <c r="J141" s="82"/>
      <c r="K141" s="48"/>
    </row>
    <row r="142" spans="1:11" s="3" customFormat="1" ht="12.75">
      <c r="A142" s="76" t="s">
        <v>67</v>
      </c>
      <c r="J142" s="48"/>
      <c r="K142" s="48"/>
    </row>
    <row r="143" spans="1:16" s="3" customFormat="1" ht="13.5" thickBot="1">
      <c r="A143" s="76"/>
      <c r="J143" s="48"/>
      <c r="K143" s="48"/>
      <c r="N143" s="21"/>
      <c r="O143" s="88"/>
      <c r="P143" s="21"/>
    </row>
    <row r="144" spans="1:13" s="3" customFormat="1" ht="12.75">
      <c r="A144" s="94"/>
      <c r="B144" s="103"/>
      <c r="C144" s="318" t="s">
        <v>130</v>
      </c>
      <c r="D144" s="103" t="s">
        <v>95</v>
      </c>
      <c r="E144" s="95"/>
      <c r="F144" s="241" t="s">
        <v>93</v>
      </c>
      <c r="G144" s="222"/>
      <c r="H144" s="103" t="s">
        <v>95</v>
      </c>
      <c r="I144" s="95"/>
      <c r="J144" s="241" t="s">
        <v>93</v>
      </c>
      <c r="K144" s="96"/>
      <c r="L144" s="93"/>
      <c r="M144" s="88"/>
    </row>
    <row r="145" spans="1:13" s="3" customFormat="1" ht="12" customHeight="1">
      <c r="A145" s="97"/>
      <c r="B145" s="104" t="s">
        <v>114</v>
      </c>
      <c r="C145" s="319" t="s">
        <v>129</v>
      </c>
      <c r="D145" s="171" t="s">
        <v>96</v>
      </c>
      <c r="E145" s="172"/>
      <c r="F145" s="173" t="s">
        <v>94</v>
      </c>
      <c r="G145" s="223"/>
      <c r="H145" s="171" t="s">
        <v>96</v>
      </c>
      <c r="I145" s="172"/>
      <c r="J145" s="173" t="s">
        <v>94</v>
      </c>
      <c r="K145" s="174"/>
      <c r="L145" s="84"/>
      <c r="M145" s="88"/>
    </row>
    <row r="146" spans="1:21" s="3" customFormat="1" ht="14.25">
      <c r="A146" s="98" t="s">
        <v>68</v>
      </c>
      <c r="B146" s="105" t="s">
        <v>69</v>
      </c>
      <c r="C146" s="320" t="s">
        <v>69</v>
      </c>
      <c r="D146" s="108" t="s">
        <v>70</v>
      </c>
      <c r="E146" s="85" t="s">
        <v>71</v>
      </c>
      <c r="F146" s="92" t="s">
        <v>70</v>
      </c>
      <c r="G146" s="85" t="s">
        <v>71</v>
      </c>
      <c r="H146" s="224" t="s">
        <v>72</v>
      </c>
      <c r="I146" s="134" t="s">
        <v>73</v>
      </c>
      <c r="J146" s="135" t="s">
        <v>72</v>
      </c>
      <c r="K146" s="136" t="s">
        <v>73</v>
      </c>
      <c r="L146" s="22"/>
      <c r="M146" s="22"/>
      <c r="N146" s="344"/>
      <c r="O146" s="344"/>
      <c r="P146" s="71" t="s">
        <v>74</v>
      </c>
      <c r="Q146" s="72" t="s">
        <v>75</v>
      </c>
      <c r="R146" s="92" t="s">
        <v>68</v>
      </c>
      <c r="S146" s="134" t="s">
        <v>76</v>
      </c>
      <c r="T146" s="92" t="s">
        <v>69</v>
      </c>
      <c r="U146" s="134" t="s">
        <v>77</v>
      </c>
    </row>
    <row r="147" spans="1:31" s="3" customFormat="1" ht="12.75">
      <c r="A147" s="99" t="s">
        <v>34</v>
      </c>
      <c r="B147" s="104" t="s">
        <v>34</v>
      </c>
      <c r="C147" s="319" t="s">
        <v>34</v>
      </c>
      <c r="D147" s="104" t="s">
        <v>34</v>
      </c>
      <c r="E147" s="81" t="s">
        <v>34</v>
      </c>
      <c r="F147" s="29" t="s">
        <v>34</v>
      </c>
      <c r="G147" s="81" t="s">
        <v>34</v>
      </c>
      <c r="H147" s="104" t="s">
        <v>34</v>
      </c>
      <c r="I147" s="81" t="s">
        <v>78</v>
      </c>
      <c r="J147" s="29" t="s">
        <v>34</v>
      </c>
      <c r="K147" s="109" t="s">
        <v>78</v>
      </c>
      <c r="L147" s="22"/>
      <c r="M147" s="22"/>
      <c r="N147" s="22"/>
      <c r="O147" s="22"/>
      <c r="P147" s="29" t="s">
        <v>34</v>
      </c>
      <c r="Q147" s="81" t="s">
        <v>34</v>
      </c>
      <c r="R147" s="29" t="s">
        <v>34</v>
      </c>
      <c r="S147" s="81" t="s">
        <v>34</v>
      </c>
      <c r="T147" s="29" t="s">
        <v>34</v>
      </c>
      <c r="U147" s="81" t="s">
        <v>34</v>
      </c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s="3" customFormat="1" ht="12.75">
      <c r="A148" s="182"/>
      <c r="B148" s="22"/>
      <c r="C148" s="321"/>
      <c r="D148" s="106">
        <f>(T148+R148)/2-((T148-R148)/2*((1+$J$123*$J$121*($J$121*R148/$J$114+$J$122)^($J$123-1))-1)/((1+$J$123*$J$121*($J$121*R148/$J$114+$J$122)^($J$123-1))+1))</f>
        <v>8.71788586827571E-05</v>
      </c>
      <c r="E148" s="231">
        <f>(T148-R148)*SQRT(1+$J$123*$J$121*($J$121*R148/$J$114+$J$122)^($J$123-1))/((1+$J$123*$J$121*($J$121*R148/$J$114+$J$122)^($J$123-1))+1)</f>
        <v>0.1412505115785593</v>
      </c>
      <c r="F148" s="82">
        <f>(U148+S148)/2-((U148-S148)/2*((1+$J$131*$J$129*($J$129*S148/$J$114+$J$130)^($J$131-1))-1)/((1+$J$131*$J$129*($J$129*S148/$J$114+$J$130)^($J$131-1))+1))</f>
        <v>-6.581538714045543E-05</v>
      </c>
      <c r="G148" s="82">
        <f>(U148-S148)*SQRT(1+$J$131*$J$129*($J$129*S148/$J$114+$J$130)^($J$131-1))/((1+$J$131*$J$129*($J$129*S148/$J$114+$J$130)^($J$131-1))+1)</f>
        <v>0.11337570448814496</v>
      </c>
      <c r="H148" s="225"/>
      <c r="I148" s="73"/>
      <c r="J148" s="22"/>
      <c r="K148" s="137"/>
      <c r="L148" s="113"/>
      <c r="M148" s="113"/>
      <c r="N148" s="82"/>
      <c r="O148" s="82"/>
      <c r="P148" s="176">
        <f>-J124</f>
        <v>-0.04619169523948669</v>
      </c>
      <c r="Q148" s="177">
        <f>-J132</f>
        <v>-0.03684093345014684</v>
      </c>
      <c r="R148" s="178">
        <f>P148*$Q$151</f>
        <v>-0.02947030156279251</v>
      </c>
      <c r="S148" s="179">
        <f>Q148*$Q$151</f>
        <v>-0.023504515541193687</v>
      </c>
      <c r="T148" s="180">
        <f>R148+$J$114*($J$121*R148/$J$114+$J$122)^$J$123</f>
        <v>0.6751009735632072</v>
      </c>
      <c r="U148" s="181">
        <f>S148+$J$114*($J$129*S148/$J$114+$J$130)^$J$131</f>
        <v>0.5483455847203156</v>
      </c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s="3" customFormat="1" ht="12.75">
      <c r="A149" s="183">
        <v>0</v>
      </c>
      <c r="B149" s="106">
        <f aca="true" t="shared" si="2" ref="B149:B180">A149+$J$114*($J$121*A149/$J$114+$J$122)^$J$123</f>
        <v>1.19296652141202</v>
      </c>
      <c r="C149" s="322">
        <f aca="true" t="shared" si="3" ref="C149:C180">A149+$J$114*($J$129*A149/$J$114+$J$130)^$J$131</f>
        <v>0.972277044739981</v>
      </c>
      <c r="D149" s="106">
        <f aca="true" t="shared" si="4" ref="D149:D180">(B149+A149)/2-((B149-A149)/2*((1+$J$123*$J$121*($J$121*A149/$J$114+$J$122)^($J$123-1))-1)/((1+$J$123*$J$121*($J$121*A149/$J$114+$J$122)^($J$123-1))+1))</f>
        <v>0.07754197878732993</v>
      </c>
      <c r="E149" s="82">
        <f aca="true" t="shared" si="5" ref="E149:E180">(B149-A149)*SQRT(1+$J$123*$J$121*($J$121*A149/$J$114+$J$122)^($J$123-1))/((1+$J$123*$J$121*($J$121*A149/$J$114+$J$122)^($J$123-1))+1)</f>
        <v>0.29409560728285433</v>
      </c>
      <c r="F149" s="89">
        <f aca="true" t="shared" si="6" ref="F149:F180">(C149+A149)/2-((C149-A149)/2*((1+$J$131*$J$129*($J$129*A149/$J$114+$J$130)^($J$131-1))-1)/((1+$J$131*$J$129*($J$129*A149/$J$114+$J$130)^($J$131-1))+1))</f>
        <v>0.06159340937598018</v>
      </c>
      <c r="G149" s="82">
        <f aca="true" t="shared" si="7" ref="G149:G180">(C149-A149)*SQRT(1+$J$131*$J$129*($J$129*A149/$J$114+$J$130)^($J$131-1))/((1+$J$131*$J$129*($J$129*A149/$J$114+$J$130)^($J$131-1))+1)</f>
        <v>0.23683772918388812</v>
      </c>
      <c r="H149" s="106">
        <f aca="true" t="shared" si="8" ref="H149:H180">E149-D149*TAN(RADIANS(I149))</f>
        <v>0.15727025906979364</v>
      </c>
      <c r="I149" s="138">
        <f aca="true" t="shared" si="9" ref="I149:I180">90-DEGREES(ASIN(2*E149/(B149-A149)))</f>
        <v>60.45880414289966</v>
      </c>
      <c r="J149" s="139">
        <f aca="true" t="shared" si="10" ref="J149:J180">G149-F149*TAN(RADIANS(K149))</f>
        <v>0.12642803629703897</v>
      </c>
      <c r="K149" s="140">
        <f aca="true" t="shared" si="11" ref="K149:K180">90-DEGREES(ASIN(2*G149/(C149-A149)))</f>
        <v>60.844497840052426</v>
      </c>
      <c r="L149" s="139"/>
      <c r="M149" s="139"/>
      <c r="N149" s="82"/>
      <c r="O149" s="82"/>
      <c r="R149" s="142"/>
      <c r="S149" s="142"/>
      <c r="T149" s="175"/>
      <c r="U149" s="175"/>
      <c r="V149" s="82"/>
      <c r="W149" s="82"/>
      <c r="X149" s="82"/>
      <c r="Y149" s="82"/>
      <c r="Z149" s="82"/>
      <c r="AA149" s="24"/>
      <c r="AB149" s="82"/>
      <c r="AC149" s="24"/>
      <c r="AD149" s="2"/>
      <c r="AE149" s="2"/>
    </row>
    <row r="150" spans="1:21" s="3" customFormat="1" ht="12.75">
      <c r="A150" s="262">
        <v>0.05</v>
      </c>
      <c r="B150" s="106">
        <f t="shared" si="2"/>
        <v>1.7947450728673044</v>
      </c>
      <c r="C150" s="322">
        <f t="shared" si="3"/>
        <v>1.5716309489561946</v>
      </c>
      <c r="D150" s="106">
        <f t="shared" si="4"/>
        <v>0.20304388193888379</v>
      </c>
      <c r="E150" s="90">
        <f t="shared" si="5"/>
        <v>0.4935586380020411</v>
      </c>
      <c r="F150" s="89">
        <f t="shared" si="6"/>
        <v>0.18643718455920244</v>
      </c>
      <c r="G150" s="82">
        <f t="shared" si="7"/>
        <v>0.4347320292815895</v>
      </c>
      <c r="H150" s="106">
        <f t="shared" si="8"/>
        <v>0.19763578071048676</v>
      </c>
      <c r="I150" s="138">
        <f t="shared" si="9"/>
        <v>55.54450592897673</v>
      </c>
      <c r="J150" s="110">
        <f t="shared" si="10"/>
        <v>0.1669640190322974</v>
      </c>
      <c r="K150" s="140">
        <f t="shared" si="11"/>
        <v>55.151900487588634</v>
      </c>
      <c r="L150" s="139"/>
      <c r="M150" s="139"/>
      <c r="N150" s="82"/>
      <c r="O150" s="82"/>
      <c r="R150" s="120"/>
      <c r="S150" s="120"/>
      <c r="T150" s="22"/>
      <c r="U150" s="2"/>
    </row>
    <row r="151" spans="1:40" s="16" customFormat="1" ht="15">
      <c r="A151" s="262">
        <v>0.1</v>
      </c>
      <c r="B151" s="106">
        <f t="shared" si="2"/>
        <v>2.2674235351034517</v>
      </c>
      <c r="C151" s="322">
        <f t="shared" si="3"/>
        <v>2.029606293559416</v>
      </c>
      <c r="D151" s="106">
        <f t="shared" si="4"/>
        <v>0.3238227934622411</v>
      </c>
      <c r="E151" s="90">
        <f t="shared" si="5"/>
        <v>0.6595620875773704</v>
      </c>
      <c r="F151" s="89">
        <f t="shared" si="6"/>
        <v>0.3060294837073595</v>
      </c>
      <c r="G151" s="82">
        <f t="shared" si="7"/>
        <v>0.5959090872472049</v>
      </c>
      <c r="H151" s="106">
        <f t="shared" si="8"/>
        <v>0.23738553300945248</v>
      </c>
      <c r="I151" s="138">
        <f t="shared" si="9"/>
        <v>52.51065093277758</v>
      </c>
      <c r="J151" s="110">
        <f t="shared" si="10"/>
        <v>0.2062403989688456</v>
      </c>
      <c r="K151" s="140">
        <f t="shared" si="11"/>
        <v>51.855391657147315</v>
      </c>
      <c r="L151" s="139"/>
      <c r="M151" s="139"/>
      <c r="N151" s="82"/>
      <c r="O151" s="82"/>
      <c r="P151" s="184" t="s">
        <v>79</v>
      </c>
      <c r="Q151" s="161">
        <v>0.638</v>
      </c>
      <c r="R151" s="185" t="s">
        <v>80</v>
      </c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18" s="16" customFormat="1" ht="15">
      <c r="A152" s="262">
        <v>0.15</v>
      </c>
      <c r="B152" s="106">
        <f t="shared" si="2"/>
        <v>2.6743844432546022</v>
      </c>
      <c r="C152" s="322">
        <f t="shared" si="3"/>
        <v>2.4204892478855364</v>
      </c>
      <c r="D152" s="106">
        <f t="shared" si="4"/>
        <v>0.4412167743008166</v>
      </c>
      <c r="E152" s="90">
        <f t="shared" si="5"/>
        <v>0.8064340549763482</v>
      </c>
      <c r="F152" s="89">
        <f t="shared" si="6"/>
        <v>0.4219939812971112</v>
      </c>
      <c r="G152" s="82">
        <f t="shared" si="7"/>
        <v>0.7372778880197189</v>
      </c>
      <c r="H152" s="106">
        <f t="shared" si="8"/>
        <v>0.27519327694738893</v>
      </c>
      <c r="I152" s="138">
        <f t="shared" si="9"/>
        <v>50.28900852431741</v>
      </c>
      <c r="J152" s="110">
        <f t="shared" si="10"/>
        <v>0.24318118246710707</v>
      </c>
      <c r="K152" s="140">
        <f t="shared" si="11"/>
        <v>49.500299828596965</v>
      </c>
      <c r="L152" s="139"/>
      <c r="M152" s="139"/>
      <c r="N152" s="82"/>
      <c r="O152" s="82"/>
      <c r="R152" s="16" t="s">
        <v>81</v>
      </c>
    </row>
    <row r="153" spans="1:13" s="16" customFormat="1" ht="12.75">
      <c r="A153" s="262">
        <v>0.2</v>
      </c>
      <c r="B153" s="106">
        <f t="shared" si="2"/>
        <v>3.0395669016600984</v>
      </c>
      <c r="C153" s="322">
        <f t="shared" si="3"/>
        <v>2.7698830021845025</v>
      </c>
      <c r="D153" s="106">
        <f t="shared" si="4"/>
        <v>0.5559432154237014</v>
      </c>
      <c r="E153" s="90">
        <f t="shared" si="5"/>
        <v>0.940228164214117</v>
      </c>
      <c r="F153" s="89">
        <f t="shared" si="6"/>
        <v>0.5351512963342091</v>
      </c>
      <c r="G153" s="82">
        <f t="shared" si="7"/>
        <v>0.8654323937633049</v>
      </c>
      <c r="H153" s="106">
        <f t="shared" si="8"/>
        <v>0.3111949319845133</v>
      </c>
      <c r="I153" s="138">
        <f t="shared" si="9"/>
        <v>48.529564517933444</v>
      </c>
      <c r="J153" s="110">
        <f t="shared" si="10"/>
        <v>0.2781173556566835</v>
      </c>
      <c r="K153" s="140">
        <f t="shared" si="11"/>
        <v>47.660759919707886</v>
      </c>
      <c r="L153" s="139"/>
      <c r="M153" s="82"/>
    </row>
    <row r="154" spans="1:13" s="16" customFormat="1" ht="12.75">
      <c r="A154" s="262">
        <v>0.25</v>
      </c>
      <c r="B154" s="106">
        <f t="shared" si="2"/>
        <v>3.3751296919980396</v>
      </c>
      <c r="C154" s="322">
        <f t="shared" si="3"/>
        <v>3.090302283788721</v>
      </c>
      <c r="D154" s="106">
        <f t="shared" si="4"/>
        <v>0.6684598030172255</v>
      </c>
      <c r="E154" s="90">
        <f t="shared" si="5"/>
        <v>1.0642521076209186</v>
      </c>
      <c r="F154" s="89">
        <f t="shared" si="6"/>
        <v>0.6460100192582765</v>
      </c>
      <c r="G154" s="82">
        <f t="shared" si="7"/>
        <v>0.9838517300638129</v>
      </c>
      <c r="H154" s="106">
        <f t="shared" si="8"/>
        <v>0.34563644673933525</v>
      </c>
      <c r="I154" s="138">
        <f t="shared" si="9"/>
        <v>47.07088046987681</v>
      </c>
      <c r="J154" s="110">
        <f t="shared" si="10"/>
        <v>0.3113871643772561</v>
      </c>
      <c r="K154" s="140">
        <f t="shared" si="11"/>
        <v>46.14945750340136</v>
      </c>
      <c r="L154" s="139"/>
      <c r="M154" s="82"/>
    </row>
    <row r="155" spans="1:13" s="16" customFormat="1" ht="12.75">
      <c r="A155" s="262">
        <v>0.3</v>
      </c>
      <c r="B155" s="106">
        <f t="shared" si="2"/>
        <v>3.6882611255258464</v>
      </c>
      <c r="C155" s="322">
        <f t="shared" si="3"/>
        <v>3.3889862761491814</v>
      </c>
      <c r="D155" s="106">
        <f t="shared" si="4"/>
        <v>0.7790871969784494</v>
      </c>
      <c r="E155" s="90">
        <f t="shared" si="5"/>
        <v>1.18057104104351</v>
      </c>
      <c r="F155" s="89">
        <f t="shared" si="6"/>
        <v>0.7549200337343864</v>
      </c>
      <c r="G155" s="82">
        <f t="shared" si="7"/>
        <v>1.0946641054944424</v>
      </c>
      <c r="H155" s="106">
        <f t="shared" si="8"/>
        <v>0.37873472866068014</v>
      </c>
      <c r="I155" s="138">
        <f t="shared" si="9"/>
        <v>45.82441581699798</v>
      </c>
      <c r="J155" s="110">
        <f t="shared" si="10"/>
        <v>0.3432550106351031</v>
      </c>
      <c r="K155" s="140">
        <f t="shared" si="11"/>
        <v>44.86645573561943</v>
      </c>
      <c r="L155" s="139"/>
      <c r="M155" s="82"/>
    </row>
    <row r="156" spans="1:13" s="16" customFormat="1" ht="12.75">
      <c r="A156" s="262">
        <v>0.35</v>
      </c>
      <c r="B156" s="106">
        <f t="shared" si="2"/>
        <v>3.9836326122580914</v>
      </c>
      <c r="C156" s="322">
        <f t="shared" si="3"/>
        <v>3.670573220795519</v>
      </c>
      <c r="D156" s="106">
        <f t="shared" si="4"/>
        <v>0.8880638790610496</v>
      </c>
      <c r="E156" s="90">
        <f t="shared" si="5"/>
        <v>1.2905865800031007</v>
      </c>
      <c r="F156" s="89">
        <f t="shared" si="6"/>
        <v>0.862138219997248</v>
      </c>
      <c r="G156" s="82">
        <f t="shared" si="7"/>
        <v>1.1992943351349563</v>
      </c>
      <c r="H156" s="106">
        <f t="shared" si="8"/>
        <v>0.41066588476542987</v>
      </c>
      <c r="I156" s="138">
        <f t="shared" si="9"/>
        <v>44.7361024681082</v>
      </c>
      <c r="J156" s="110">
        <f t="shared" si="10"/>
        <v>0.3739234644543967</v>
      </c>
      <c r="K156" s="140">
        <f t="shared" si="11"/>
        <v>43.75184039029699</v>
      </c>
      <c r="L156" s="139"/>
      <c r="M156" s="82"/>
    </row>
    <row r="157" spans="1:13" s="16" customFormat="1" ht="12.75">
      <c r="A157" s="262">
        <v>0.4</v>
      </c>
      <c r="B157" s="106">
        <f t="shared" si="2"/>
        <v>4.264484224183648</v>
      </c>
      <c r="C157" s="322">
        <f t="shared" si="3"/>
        <v>3.9382482485925654</v>
      </c>
      <c r="D157" s="106">
        <f t="shared" si="4"/>
        <v>0.9955747735664311</v>
      </c>
      <c r="E157" s="90">
        <f t="shared" si="5"/>
        <v>1.3953064200599505</v>
      </c>
      <c r="F157" s="89">
        <f t="shared" si="6"/>
        <v>0.9678618289806591</v>
      </c>
      <c r="G157" s="82">
        <f t="shared" si="7"/>
        <v>1.2987567382000869</v>
      </c>
      <c r="H157" s="106">
        <f t="shared" si="8"/>
        <v>0.4415716247818745</v>
      </c>
      <c r="I157" s="138">
        <f t="shared" si="9"/>
        <v>43.77039226095536</v>
      </c>
      <c r="J157" s="110">
        <f t="shared" si="10"/>
        <v>0.40354989304371136</v>
      </c>
      <c r="K157" s="140">
        <f t="shared" si="11"/>
        <v>42.76674062745948</v>
      </c>
      <c r="L157" s="139"/>
      <c r="M157" s="82"/>
    </row>
    <row r="158" spans="1:13" s="16" customFormat="1" ht="12.75">
      <c r="A158" s="262">
        <v>0.45</v>
      </c>
      <c r="B158" s="106">
        <f t="shared" si="2"/>
        <v>4.533173192254365</v>
      </c>
      <c r="C158" s="322">
        <f t="shared" si="3"/>
        <v>4.194311533779218</v>
      </c>
      <c r="D158" s="106">
        <f t="shared" si="4"/>
        <v>1.10176778373423</v>
      </c>
      <c r="E158" s="90">
        <f t="shared" si="5"/>
        <v>1.4954863751317886</v>
      </c>
      <c r="F158" s="89">
        <f t="shared" si="6"/>
        <v>1.0722474003273685</v>
      </c>
      <c r="G158" s="82">
        <f t="shared" si="7"/>
        <v>1.3938064035925977</v>
      </c>
      <c r="H158" s="106">
        <f t="shared" si="8"/>
        <v>0.4715669211097604</v>
      </c>
      <c r="I158" s="138">
        <f t="shared" si="9"/>
        <v>42.90261326215982</v>
      </c>
      <c r="J158" s="110">
        <f t="shared" si="10"/>
        <v>0.4322589510630809</v>
      </c>
      <c r="K158" s="140">
        <f t="shared" si="11"/>
        <v>41.88445114008739</v>
      </c>
      <c r="L158" s="139"/>
      <c r="M158" s="82"/>
    </row>
    <row r="159" spans="1:13" s="16" customFormat="1" ht="12.75">
      <c r="A159" s="262">
        <v>0.5</v>
      </c>
      <c r="B159" s="106">
        <f t="shared" si="2"/>
        <v>4.791478374808976</v>
      </c>
      <c r="C159" s="322">
        <f t="shared" si="3"/>
        <v>4.440489006819899</v>
      </c>
      <c r="D159" s="106">
        <f t="shared" si="4"/>
        <v>1.2067640693534938</v>
      </c>
      <c r="E159" s="90">
        <f t="shared" si="5"/>
        <v>1.5917120562442821</v>
      </c>
      <c r="F159" s="89">
        <f t="shared" si="6"/>
        <v>1.1754223513035458</v>
      </c>
      <c r="G159" s="82">
        <f t="shared" si="7"/>
        <v>1.4850249148184884</v>
      </c>
      <c r="H159" s="106">
        <f t="shared" si="8"/>
        <v>0.5007462233567677</v>
      </c>
      <c r="I159" s="138">
        <f t="shared" si="9"/>
        <v>42.11491690129484</v>
      </c>
      <c r="J159" s="110">
        <f t="shared" si="10"/>
        <v>0.4601512690218772</v>
      </c>
      <c r="K159" s="140">
        <f t="shared" si="11"/>
        <v>41.085807385769876</v>
      </c>
      <c r="L159" s="139"/>
      <c r="M159" s="82"/>
    </row>
    <row r="160" spans="1:13" s="16" customFormat="1" ht="12.75">
      <c r="A160" s="262">
        <f aca="true" t="shared" si="12" ref="A160:A174">A159+0.1</f>
        <v>0.6</v>
      </c>
      <c r="B160" s="106">
        <f t="shared" si="2"/>
        <v>5.28218192149387</v>
      </c>
      <c r="C160" s="322">
        <f t="shared" si="3"/>
        <v>4.9082481560591855</v>
      </c>
      <c r="D160" s="106">
        <f t="shared" si="4"/>
        <v>1.4135557665215464</v>
      </c>
      <c r="E160" s="90">
        <f t="shared" si="5"/>
        <v>1.7740752850129593</v>
      </c>
      <c r="F160" s="89">
        <f t="shared" si="6"/>
        <v>1.3785471822201387</v>
      </c>
      <c r="G160" s="82">
        <f t="shared" si="7"/>
        <v>1.6577209497566443</v>
      </c>
      <c r="H160" s="106">
        <f t="shared" si="8"/>
        <v>0.5569588522421054</v>
      </c>
      <c r="I160" s="138">
        <f t="shared" si="9"/>
        <v>40.729496486175364</v>
      </c>
      <c r="J160" s="110">
        <f t="shared" si="10"/>
        <v>0.5138024549559197</v>
      </c>
      <c r="K160" s="140">
        <f t="shared" si="11"/>
        <v>39.68588856012987</v>
      </c>
      <c r="L160" s="139"/>
      <c r="M160" s="82"/>
    </row>
    <row r="161" spans="1:13" s="16" customFormat="1" ht="12.75">
      <c r="A161" s="262">
        <f t="shared" si="12"/>
        <v>0.7</v>
      </c>
      <c r="B161" s="106">
        <f t="shared" si="2"/>
        <v>5.744682061400954</v>
      </c>
      <c r="C161" s="322">
        <f t="shared" si="3"/>
        <v>5.34930140355386</v>
      </c>
      <c r="D161" s="106">
        <f t="shared" si="4"/>
        <v>1.616593654300488</v>
      </c>
      <c r="E161" s="90">
        <f t="shared" si="5"/>
        <v>1.9451939847582542</v>
      </c>
      <c r="F161" s="89">
        <f t="shared" si="6"/>
        <v>1.5779056615817637</v>
      </c>
      <c r="G161" s="82">
        <f t="shared" si="7"/>
        <v>1.819596019434715</v>
      </c>
      <c r="H161" s="106">
        <f t="shared" si="8"/>
        <v>0.6107044482709787</v>
      </c>
      <c r="I161" s="138">
        <f t="shared" si="9"/>
        <v>39.53949336490926</v>
      </c>
      <c r="J161" s="110">
        <f t="shared" si="10"/>
        <v>0.5650168901077097</v>
      </c>
      <c r="K161" s="140">
        <f t="shared" si="11"/>
        <v>38.4879060498285</v>
      </c>
      <c r="L161" s="139"/>
      <c r="M161" s="82"/>
    </row>
    <row r="162" spans="1:13" s="16" customFormat="1" ht="12.75">
      <c r="A162" s="262">
        <f t="shared" si="12"/>
        <v>0.7999999999999999</v>
      </c>
      <c r="B162" s="106">
        <f t="shared" si="2"/>
        <v>6.184436490110257</v>
      </c>
      <c r="C162" s="322">
        <f t="shared" si="3"/>
        <v>5.768867996172684</v>
      </c>
      <c r="D162" s="106">
        <f t="shared" si="4"/>
        <v>1.816361791718366</v>
      </c>
      <c r="E162" s="90">
        <f t="shared" si="5"/>
        <v>2.107022597604792</v>
      </c>
      <c r="F162" s="89">
        <f t="shared" si="6"/>
        <v>1.7739973500618036</v>
      </c>
      <c r="G162" s="82">
        <f t="shared" si="7"/>
        <v>1.9725601190208841</v>
      </c>
      <c r="H162" s="106">
        <f t="shared" si="8"/>
        <v>0.6623481865634286</v>
      </c>
      <c r="I162" s="138">
        <f t="shared" si="9"/>
        <v>38.497584990531664</v>
      </c>
      <c r="J162" s="110">
        <f t="shared" si="10"/>
        <v>0.6141677510550414</v>
      </c>
      <c r="K162" s="140">
        <f t="shared" si="11"/>
        <v>37.44214789169972</v>
      </c>
      <c r="L162" s="139"/>
      <c r="M162" s="82"/>
    </row>
    <row r="163" spans="1:13" s="16" customFormat="1" ht="12.75">
      <c r="A163" s="262">
        <f t="shared" si="12"/>
        <v>0.8999999999999999</v>
      </c>
      <c r="B163" s="106">
        <f t="shared" si="2"/>
        <v>6.605335706476252</v>
      </c>
      <c r="C163" s="322">
        <f t="shared" si="3"/>
        <v>6.17065404008226</v>
      </c>
      <c r="D163" s="106">
        <f t="shared" si="4"/>
        <v>2.013237748908267</v>
      </c>
      <c r="E163" s="90">
        <f t="shared" si="5"/>
        <v>2.260994646842233</v>
      </c>
      <c r="F163" s="89">
        <f t="shared" si="6"/>
        <v>1.9672096126995477</v>
      </c>
      <c r="G163" s="82">
        <f t="shared" si="7"/>
        <v>2.118007624951142</v>
      </c>
      <c r="H163" s="106">
        <f t="shared" si="8"/>
        <v>0.7121690658019826</v>
      </c>
      <c r="I163" s="138">
        <f t="shared" si="9"/>
        <v>37.571830966185665</v>
      </c>
      <c r="J163" s="110">
        <f t="shared" si="10"/>
        <v>0.6615371187908956</v>
      </c>
      <c r="K163" s="140">
        <f t="shared" si="11"/>
        <v>36.5152785363946</v>
      </c>
      <c r="L163" s="139"/>
      <c r="M163" s="82"/>
    </row>
    <row r="164" spans="1:13" s="16" customFormat="1" ht="12.75">
      <c r="A164" s="262">
        <f t="shared" si="12"/>
        <v>0.9999999999999999</v>
      </c>
      <c r="B164" s="106">
        <f t="shared" si="2"/>
        <v>7.010269660762986</v>
      </c>
      <c r="C164" s="322">
        <f t="shared" si="3"/>
        <v>6.557404499099286</v>
      </c>
      <c r="D164" s="106">
        <f t="shared" si="4"/>
        <v>2.207524381376586</v>
      </c>
      <c r="E164" s="90">
        <f t="shared" si="5"/>
        <v>2.4082009929406607</v>
      </c>
      <c r="F164" s="89">
        <f t="shared" si="6"/>
        <v>2.1578516470950797</v>
      </c>
      <c r="G164" s="82">
        <f t="shared" si="7"/>
        <v>2.256995683685489</v>
      </c>
      <c r="H164" s="106">
        <f t="shared" si="8"/>
        <v>0.7603863354315392</v>
      </c>
      <c r="I164" s="138">
        <f t="shared" si="9"/>
        <v>36.739634386828875</v>
      </c>
      <c r="J164" s="110">
        <f t="shared" si="10"/>
        <v>0.7073448945929686</v>
      </c>
      <c r="K164" s="140">
        <f t="shared" si="11"/>
        <v>35.683835838213746</v>
      </c>
      <c r="L164" s="139"/>
      <c r="M164" s="82"/>
    </row>
    <row r="165" spans="1:13" s="16" customFormat="1" ht="12.75">
      <c r="A165" s="262">
        <f t="shared" si="12"/>
        <v>1.0999999999999999</v>
      </c>
      <c r="B165" s="106">
        <f t="shared" si="2"/>
        <v>7.4014552231673765</v>
      </c>
      <c r="C165" s="322">
        <f t="shared" si="3"/>
        <v>6.931220269207337</v>
      </c>
      <c r="D165" s="106">
        <f t="shared" si="4"/>
        <v>2.3994700289477655</v>
      </c>
      <c r="E165" s="90">
        <f t="shared" si="5"/>
        <v>2.5494959982570786</v>
      </c>
      <c r="F165" s="89">
        <f t="shared" si="6"/>
        <v>2.3461759456585862</v>
      </c>
      <c r="G165" s="82">
        <f t="shared" si="7"/>
        <v>2.3903497538613254</v>
      </c>
      <c r="H165" s="106">
        <f t="shared" si="8"/>
        <v>0.8071763050965832</v>
      </c>
      <c r="I165" s="138">
        <f t="shared" si="9"/>
        <v>35.98440999544829</v>
      </c>
      <c r="J165" s="110">
        <f t="shared" si="10"/>
        <v>0.7517668098231571</v>
      </c>
      <c r="K165" s="140">
        <f t="shared" si="11"/>
        <v>34.93067255149891</v>
      </c>
      <c r="L165" s="139"/>
      <c r="M165" s="82"/>
    </row>
    <row r="166" spans="1:13" s="16" customFormat="1" ht="12.75">
      <c r="A166" s="262">
        <f t="shared" si="12"/>
        <v>1.2</v>
      </c>
      <c r="B166" s="106">
        <f t="shared" si="2"/>
        <v>7.780637430537084</v>
      </c>
      <c r="C166" s="322">
        <f t="shared" si="3"/>
        <v>7.293752127279848</v>
      </c>
      <c r="D166" s="106">
        <f t="shared" si="4"/>
        <v>2.5892819985236275</v>
      </c>
      <c r="E166" s="90">
        <f t="shared" si="5"/>
        <v>2.685564493664999</v>
      </c>
      <c r="F166" s="89">
        <f t="shared" si="6"/>
        <v>2.532392528951023</v>
      </c>
      <c r="G166" s="82">
        <f t="shared" si="7"/>
        <v>2.518729829986251</v>
      </c>
      <c r="H166" s="106">
        <f t="shared" si="8"/>
        <v>0.8526834882706504</v>
      </c>
      <c r="I166" s="138">
        <f t="shared" si="9"/>
        <v>35.293619822550504</v>
      </c>
      <c r="J166" s="110">
        <f t="shared" si="10"/>
        <v>0.7949461821468096</v>
      </c>
      <c r="K166" s="140">
        <f t="shared" si="11"/>
        <v>34.24287214841332</v>
      </c>
      <c r="L166" s="139"/>
      <c r="M166" s="82"/>
    </row>
    <row r="167" spans="1:13" s="16" customFormat="1" ht="12.75">
      <c r="A167" s="262">
        <f t="shared" si="12"/>
        <v>1.3</v>
      </c>
      <c r="B167" s="106">
        <f t="shared" si="2"/>
        <v>8.14921934891242</v>
      </c>
      <c r="C167" s="322">
        <f t="shared" si="3"/>
        <v>7.646325419038201</v>
      </c>
      <c r="D167" s="106">
        <f t="shared" si="4"/>
        <v>2.777135921279944</v>
      </c>
      <c r="E167" s="90">
        <f t="shared" si="5"/>
        <v>2.81696599252966</v>
      </c>
      <c r="F167" s="89">
        <f t="shared" si="6"/>
        <v>2.716678769705098</v>
      </c>
      <c r="G167" s="82">
        <f t="shared" si="7"/>
        <v>2.642673977292333</v>
      </c>
      <c r="H167" s="106">
        <f t="shared" si="8"/>
        <v>0.8970282545384063</v>
      </c>
      <c r="I167" s="138">
        <f t="shared" si="9"/>
        <v>34.65755251100028</v>
      </c>
      <c r="J167" s="110">
        <f t="shared" si="10"/>
        <v>0.8370018930234191</v>
      </c>
      <c r="K167" s="140">
        <f t="shared" si="11"/>
        <v>33.61046070146714</v>
      </c>
      <c r="L167" s="139"/>
      <c r="M167" s="82"/>
    </row>
    <row r="168" spans="1:13" s="16" customFormat="1" ht="12.75">
      <c r="A168" s="262">
        <f t="shared" si="12"/>
        <v>1.4000000000000001</v>
      </c>
      <c r="B168" s="106">
        <f t="shared" si="2"/>
        <v>8.508349270179792</v>
      </c>
      <c r="C168" s="322">
        <f t="shared" si="3"/>
        <v>7.9900235279043414</v>
      </c>
      <c r="D168" s="106">
        <f t="shared" si="4"/>
        <v>2.963182456922977</v>
      </c>
      <c r="E168" s="90">
        <f t="shared" si="5"/>
        <v>2.944164989125871</v>
      </c>
      <c r="F168" s="89">
        <f t="shared" si="6"/>
        <v>2.8991863982924277</v>
      </c>
      <c r="G168" s="82">
        <f t="shared" si="7"/>
        <v>2.7626280568755983</v>
      </c>
      <c r="H168" s="106">
        <f t="shared" si="8"/>
        <v>0.9403122444579486</v>
      </c>
      <c r="I168" s="138">
        <f t="shared" si="9"/>
        <v>34.0685315871436</v>
      </c>
      <c r="J168" s="110">
        <f t="shared" si="10"/>
        <v>0.8780339795543528</v>
      </c>
      <c r="K168" s="140">
        <f t="shared" si="11"/>
        <v>33.02557522133325</v>
      </c>
      <c r="L168" s="139"/>
      <c r="M168" s="82"/>
    </row>
    <row r="169" spans="1:13" s="16" customFormat="1" ht="12.75">
      <c r="A169" s="262">
        <f t="shared" si="12"/>
        <v>1.5000000000000002</v>
      </c>
      <c r="B169" s="106">
        <f t="shared" si="2"/>
        <v>8.858981226588247</v>
      </c>
      <c r="C169" s="322">
        <f t="shared" si="3"/>
        <v>8.325745657177237</v>
      </c>
      <c r="D169" s="106">
        <f t="shared" si="4"/>
        <v>3.147552226550045</v>
      </c>
      <c r="E169" s="90">
        <f t="shared" si="5"/>
        <v>3.0675523737656767</v>
      </c>
      <c r="F169" s="89">
        <f t="shared" si="6"/>
        <v>3.0800466358641545</v>
      </c>
      <c r="G169" s="82">
        <f t="shared" si="7"/>
        <v>2.8789666707660277</v>
      </c>
      <c r="H169" s="106">
        <f t="shared" si="8"/>
        <v>0.9826223011431008</v>
      </c>
      <c r="I169" s="138">
        <f t="shared" si="9"/>
        <v>33.52038334414827</v>
      </c>
      <c r="J169" s="110">
        <f t="shared" si="10"/>
        <v>0.9181276633722291</v>
      </c>
      <c r="K169" s="140">
        <f t="shared" si="11"/>
        <v>32.48190688563673</v>
      </c>
      <c r="L169" s="139"/>
      <c r="M169" s="82"/>
    </row>
    <row r="170" spans="1:13" s="16" customFormat="1" ht="12.75">
      <c r="A170" s="262">
        <f t="shared" si="12"/>
        <v>1.6000000000000003</v>
      </c>
      <c r="B170" s="106">
        <f t="shared" si="2"/>
        <v>9.201918176145744</v>
      </c>
      <c r="C170" s="322">
        <f t="shared" si="3"/>
        <v>8.65424797856558</v>
      </c>
      <c r="D170" s="106">
        <f t="shared" si="4"/>
        <v>3.330359524851358</v>
      </c>
      <c r="E170" s="90">
        <f t="shared" si="5"/>
        <v>3.187460970426248</v>
      </c>
      <c r="F170" s="89">
        <f t="shared" si="6"/>
        <v>3.2593740430783553</v>
      </c>
      <c r="G170" s="82">
        <f t="shared" si="7"/>
        <v>2.992008317874046</v>
      </c>
      <c r="H170" s="106">
        <f t="shared" si="8"/>
        <v>1.0240333891920002</v>
      </c>
      <c r="I170" s="138">
        <f t="shared" si="9"/>
        <v>33.00806829424011</v>
      </c>
      <c r="J170" s="110">
        <f t="shared" si="10"/>
        <v>0.9573563226732773</v>
      </c>
      <c r="K170" s="140">
        <f t="shared" si="11"/>
        <v>31.974316726006556</v>
      </c>
      <c r="L170" s="139"/>
      <c r="M170" s="82"/>
    </row>
    <row r="171" spans="1:13" s="16" customFormat="1" ht="12.75">
      <c r="A171" s="262">
        <f t="shared" si="12"/>
        <v>1.7000000000000004</v>
      </c>
      <c r="B171" s="106">
        <f t="shared" si="2"/>
        <v>9.53784356661843</v>
      </c>
      <c r="C171" s="322">
        <f t="shared" si="3"/>
        <v>8.976173653435298</v>
      </c>
      <c r="D171" s="106">
        <f t="shared" si="4"/>
        <v>3.5117051683022416</v>
      </c>
      <c r="E171" s="90">
        <f t="shared" si="5"/>
        <v>3.3041770656449434</v>
      </c>
      <c r="F171" s="89">
        <f t="shared" si="6"/>
        <v>3.437269463313645</v>
      </c>
      <c r="G171" s="82">
        <f t="shared" si="7"/>
        <v>3.102026613315615</v>
      </c>
      <c r="H171" s="106">
        <f t="shared" si="8"/>
        <v>1.0646108043229443</v>
      </c>
      <c r="I171" s="138">
        <f t="shared" si="9"/>
        <v>32.527419251206176</v>
      </c>
      <c r="J171" s="110">
        <f t="shared" si="10"/>
        <v>0.99578372986677</v>
      </c>
      <c r="K171" s="140">
        <f t="shared" si="11"/>
        <v>31.498563324061642</v>
      </c>
      <c r="L171" s="139"/>
      <c r="M171" s="82"/>
    </row>
    <row r="172" spans="1:13" s="16" customFormat="1" ht="12.75">
      <c r="A172" s="262">
        <f t="shared" si="12"/>
        <v>1.8000000000000005</v>
      </c>
      <c r="B172" s="106">
        <f t="shared" si="2"/>
        <v>9.867344888093347</v>
      </c>
      <c r="C172" s="322">
        <f t="shared" si="3"/>
        <v>9.292075199565199</v>
      </c>
      <c r="D172" s="106">
        <f t="shared" si="4"/>
        <v>3.6916787174948933</v>
      </c>
      <c r="E172" s="90">
        <f t="shared" si="5"/>
        <v>3.417949130878673</v>
      </c>
      <c r="F172" s="89">
        <f t="shared" si="6"/>
        <v>3.6138223123004547</v>
      </c>
      <c r="G172" s="82">
        <f t="shared" si="7"/>
        <v>3.209258758935662</v>
      </c>
      <c r="H172" s="106">
        <f t="shared" si="8"/>
        <v>1.1044118749026182</v>
      </c>
      <c r="I172" s="138">
        <f t="shared" si="9"/>
        <v>32.07495099182736</v>
      </c>
      <c r="J172" s="110">
        <f t="shared" si="10"/>
        <v>1.0334657666663838</v>
      </c>
      <c r="K172" s="140">
        <f t="shared" si="11"/>
        <v>31.051105451747574</v>
      </c>
      <c r="L172" s="139"/>
      <c r="M172" s="82"/>
    </row>
    <row r="173" spans="1:13" s="16" customFormat="1" ht="12.75">
      <c r="A173" s="262">
        <f t="shared" si="12"/>
        <v>1.9000000000000006</v>
      </c>
      <c r="B173" s="106">
        <f t="shared" si="2"/>
        <v>10.190931568791543</v>
      </c>
      <c r="C173" s="322">
        <f t="shared" si="3"/>
        <v>9.602431463136204</v>
      </c>
      <c r="D173" s="106">
        <f t="shared" si="4"/>
        <v>3.870360236900059</v>
      </c>
      <c r="E173" s="90">
        <f t="shared" si="5"/>
        <v>3.5289945348285006</v>
      </c>
      <c r="F173" s="89">
        <f t="shared" si="6"/>
        <v>3.789112386252791</v>
      </c>
      <c r="G173" s="82">
        <f t="shared" si="7"/>
        <v>3.313912049735191</v>
      </c>
      <c r="H173" s="106">
        <f t="shared" si="8"/>
        <v>1.1434872921834653</v>
      </c>
      <c r="I173" s="138">
        <f t="shared" si="9"/>
        <v>31.647719206418856</v>
      </c>
      <c r="J173" s="110">
        <f t="shared" si="10"/>
        <v>1.0704517595212817</v>
      </c>
      <c r="K173" s="140">
        <f t="shared" si="11"/>
        <v>30.628956168498014</v>
      </c>
      <c r="L173" s="139"/>
      <c r="M173" s="82"/>
    </row>
    <row r="174" spans="1:13" s="16" customFormat="1" ht="12.75">
      <c r="A174" s="262">
        <f t="shared" si="12"/>
        <v>2.0000000000000004</v>
      </c>
      <c r="B174" s="106">
        <f t="shared" si="2"/>
        <v>10.509048791878577</v>
      </c>
      <c r="C174" s="322">
        <f t="shared" si="3"/>
        <v>9.907660706882753</v>
      </c>
      <c r="D174" s="106">
        <f t="shared" si="4"/>
        <v>4.047821706641246</v>
      </c>
      <c r="E174" s="90">
        <f t="shared" si="5"/>
        <v>3.6375047871703687</v>
      </c>
      <c r="F174" s="89">
        <f t="shared" si="6"/>
        <v>3.9632113088372654</v>
      </c>
      <c r="G174" s="82">
        <f t="shared" si="7"/>
        <v>3.416168948259698</v>
      </c>
      <c r="H174" s="106">
        <f t="shared" si="8"/>
        <v>1.1818821643908826</v>
      </c>
      <c r="I174" s="138">
        <f t="shared" si="9"/>
        <v>31.24321415694861</v>
      </c>
      <c r="J174" s="110">
        <f t="shared" si="10"/>
        <v>1.1067855340755512</v>
      </c>
      <c r="K174" s="140">
        <f t="shared" si="11"/>
        <v>30.229573058072226</v>
      </c>
      <c r="L174" s="139"/>
      <c r="M174" s="82"/>
    </row>
    <row r="175" spans="1:13" s="16" customFormat="1" ht="12.75">
      <c r="A175" s="262">
        <f aca="true" t="shared" si="13" ref="A175:A189">A174+0.2</f>
        <v>2.2000000000000006</v>
      </c>
      <c r="B175" s="106">
        <f t="shared" si="2"/>
        <v>11.130397056079094</v>
      </c>
      <c r="C175" s="322">
        <f t="shared" si="3"/>
        <v>10.504167577340171</v>
      </c>
      <c r="D175" s="106">
        <f t="shared" si="4"/>
        <v>4.399338664884858</v>
      </c>
      <c r="E175" s="90">
        <f t="shared" si="5"/>
        <v>3.8475806652169284</v>
      </c>
      <c r="F175" s="89">
        <f t="shared" si="6"/>
        <v>4.3080881493544005</v>
      </c>
      <c r="G175" s="82">
        <f t="shared" si="7"/>
        <v>3.6141225234620076</v>
      </c>
      <c r="H175" s="106">
        <f t="shared" si="8"/>
        <v>1.2567877039925222</v>
      </c>
      <c r="I175" s="138">
        <f t="shared" si="9"/>
        <v>30.494047911773293</v>
      </c>
      <c r="J175" s="110">
        <f t="shared" si="10"/>
        <v>1.1776491239290872</v>
      </c>
      <c r="K175" s="140">
        <f t="shared" si="11"/>
        <v>29.490673996006002</v>
      </c>
      <c r="L175" s="139"/>
      <c r="M175" s="82"/>
    </row>
    <row r="176" spans="1:13" s="16" customFormat="1" ht="12.75">
      <c r="A176" s="262">
        <f t="shared" si="13"/>
        <v>2.400000000000001</v>
      </c>
      <c r="B176" s="106">
        <f t="shared" si="2"/>
        <v>11.734025644474798</v>
      </c>
      <c r="C176" s="322">
        <f t="shared" si="3"/>
        <v>11.084070177693695</v>
      </c>
      <c r="D176" s="106">
        <f t="shared" si="4"/>
        <v>4.74668248014714</v>
      </c>
      <c r="E176" s="90">
        <f t="shared" si="5"/>
        <v>4.0493302886407765</v>
      </c>
      <c r="F176" s="89">
        <f t="shared" si="6"/>
        <v>4.648901935861032</v>
      </c>
      <c r="G176" s="82">
        <f t="shared" si="7"/>
        <v>3.8042163866753045</v>
      </c>
      <c r="H176" s="106">
        <f t="shared" si="8"/>
        <v>1.3294061041775143</v>
      </c>
      <c r="I176" s="138">
        <f t="shared" si="9"/>
        <v>29.813391464083757</v>
      </c>
      <c r="J176" s="110">
        <f t="shared" si="10"/>
        <v>1.2463254104906225</v>
      </c>
      <c r="K176" s="140">
        <f t="shared" si="11"/>
        <v>28.820206995296985</v>
      </c>
      <c r="L176" s="139"/>
      <c r="M176" s="82"/>
    </row>
    <row r="177" spans="1:13" s="16" customFormat="1" ht="12.75">
      <c r="A177" s="262">
        <f t="shared" si="13"/>
        <v>2.600000000000001</v>
      </c>
      <c r="B177" s="106">
        <f t="shared" si="2"/>
        <v>12.322044327085464</v>
      </c>
      <c r="C177" s="322">
        <f t="shared" si="3"/>
        <v>11.649347800627796</v>
      </c>
      <c r="D177" s="106">
        <f t="shared" si="4"/>
        <v>5.090232073988349</v>
      </c>
      <c r="E177" s="90">
        <f t="shared" si="5"/>
        <v>4.243688351625786</v>
      </c>
      <c r="F177" s="89">
        <f t="shared" si="6"/>
        <v>4.986027492384547</v>
      </c>
      <c r="G177" s="82">
        <f t="shared" si="7"/>
        <v>3.987338140418073</v>
      </c>
      <c r="H177" s="106">
        <f t="shared" si="8"/>
        <v>1.3999659208963617</v>
      </c>
      <c r="I177" s="138">
        <f t="shared" si="9"/>
        <v>29.19046045563001</v>
      </c>
      <c r="J177" s="110">
        <f t="shared" si="10"/>
        <v>1.3130352819935438</v>
      </c>
      <c r="K177" s="140">
        <f t="shared" si="11"/>
        <v>28.207303668116843</v>
      </c>
      <c r="L177" s="139"/>
      <c r="M177" s="82"/>
    </row>
    <row r="178" spans="1:13" s="16" customFormat="1" ht="12.75">
      <c r="A178" s="262">
        <f t="shared" si="13"/>
        <v>2.800000000000001</v>
      </c>
      <c r="B178" s="106">
        <f t="shared" si="2"/>
        <v>12.896173168755672</v>
      </c>
      <c r="C178" s="322">
        <f t="shared" si="3"/>
        <v>12.201613401211024</v>
      </c>
      <c r="D178" s="106">
        <f t="shared" si="4"/>
        <v>5.430308843895655</v>
      </c>
      <c r="E178" s="90">
        <f t="shared" si="5"/>
        <v>4.431425161390448</v>
      </c>
      <c r="F178" s="89">
        <f t="shared" si="6"/>
        <v>5.319782042635259</v>
      </c>
      <c r="G178" s="82">
        <f t="shared" si="7"/>
        <v>4.164218423399933</v>
      </c>
      <c r="H178" s="106">
        <f t="shared" si="8"/>
        <v>1.4686582481397057</v>
      </c>
      <c r="I178" s="138">
        <f t="shared" si="9"/>
        <v>28.616804249529842</v>
      </c>
      <c r="J178" s="110">
        <f t="shared" si="10"/>
        <v>1.37796308558752</v>
      </c>
      <c r="K178" s="140">
        <f t="shared" si="11"/>
        <v>27.64346386810785</v>
      </c>
      <c r="L178" s="139"/>
      <c r="M178" s="82"/>
    </row>
    <row r="179" spans="1:13" s="16" customFormat="1" ht="12.75">
      <c r="A179" s="262">
        <f t="shared" si="13"/>
        <v>3.0000000000000013</v>
      </c>
      <c r="B179" s="106">
        <f t="shared" si="2"/>
        <v>13.457836579886518</v>
      </c>
      <c r="C179" s="322">
        <f t="shared" si="3"/>
        <v>12.74220220555874</v>
      </c>
      <c r="D179" s="106">
        <f t="shared" si="4"/>
        <v>5.767188589808022</v>
      </c>
      <c r="E179" s="90">
        <f t="shared" si="5"/>
        <v>4.613184731438272</v>
      </c>
      <c r="F179" s="89">
        <f t="shared" si="6"/>
        <v>5.650437269242674</v>
      </c>
      <c r="G179" s="82">
        <f t="shared" si="7"/>
        <v>4.335467459446615</v>
      </c>
      <c r="H179" s="106">
        <f t="shared" si="8"/>
        <v>1.5356449700107855</v>
      </c>
      <c r="I179" s="138">
        <f t="shared" si="9"/>
        <v>28.085679519377848</v>
      </c>
      <c r="J179" s="110">
        <f t="shared" si="10"/>
        <v>1.4412647454729153</v>
      </c>
      <c r="K179" s="140">
        <f t="shared" si="11"/>
        <v>27.121916360194945</v>
      </c>
      <c r="L179" s="139"/>
      <c r="M179" s="82"/>
    </row>
    <row r="180" spans="1:13" s="16" customFormat="1" ht="12.75">
      <c r="A180" s="262">
        <f t="shared" si="13"/>
        <v>3.2000000000000015</v>
      </c>
      <c r="B180" s="106">
        <f t="shared" si="2"/>
        <v>14.008230029448304</v>
      </c>
      <c r="C180" s="322">
        <f t="shared" si="3"/>
        <v>13.272234504923913</v>
      </c>
      <c r="D180" s="106">
        <f t="shared" si="4"/>
        <v>6.101110374488897</v>
      </c>
      <c r="E180" s="90">
        <f t="shared" si="5"/>
        <v>4.789512173836474</v>
      </c>
      <c r="F180" s="89">
        <f t="shared" si="6"/>
        <v>5.978228247595414</v>
      </c>
      <c r="G180" s="82">
        <f t="shared" si="7"/>
        <v>4.501601295344551</v>
      </c>
      <c r="H180" s="106">
        <f t="shared" si="8"/>
        <v>1.6010647863646978</v>
      </c>
      <c r="I180" s="138">
        <f t="shared" si="9"/>
        <v>27.59162073111662</v>
      </c>
      <c r="J180" s="110">
        <f t="shared" si="10"/>
        <v>1.5030736730098582</v>
      </c>
      <c r="K180" s="140">
        <f t="shared" si="11"/>
        <v>26.637181437792492</v>
      </c>
      <c r="L180" s="139"/>
      <c r="M180" s="82"/>
    </row>
    <row r="181" spans="1:13" s="16" customFormat="1" ht="12.75">
      <c r="A181" s="262">
        <f t="shared" si="13"/>
        <v>3.4000000000000017</v>
      </c>
      <c r="B181" s="106">
        <f aca="true" t="shared" si="14" ref="B181:B199">A181+$J$114*($J$121*A181/$J$114+$J$122)^$J$123</f>
        <v>14.548368551839728</v>
      </c>
      <c r="C181" s="322">
        <f aca="true" t="shared" si="15" ref="C181:C199">A181+$J$114*($J$129*A181/$J$114+$J$130)^$J$131</f>
        <v>13.792661277452682</v>
      </c>
      <c r="D181" s="106">
        <f aca="true" t="shared" si="16" ref="D181:D199">(B181+A181)/2-((B181-A181)/2*((1+$J$123*$J$121*($J$121*A181/$J$114+$J$122)^($J$123-1))-1)/((1+$J$123*$J$121*($J$121*A181/$J$114+$J$122)^($J$123-1))+1))</f>
        <v>6.432283242336565</v>
      </c>
      <c r="E181" s="90">
        <f aca="true" t="shared" si="17" ref="E181:E199">(B181-A181)*SQRT(1+$J$123*$J$121*($J$121*A181/$J$114+$J$122)^($J$123-1))/((1+$J$123*$J$121*($J$121*A181/$J$114+$J$122)^($J$123-1))+1)</f>
        <v>4.9608738622726944</v>
      </c>
      <c r="F181" s="89">
        <f aca="true" t="shared" si="18" ref="F181:F199">(C181+A181)/2-((C181-A181)/2*((1+$J$131*$J$129*($J$129*A181/$J$114+$J$130)^($J$131-1))-1)/((1+$J$131*$J$129*($J$129*A181/$J$114+$J$130)^($J$131-1))+1))</f>
        <v>6.303360203249018</v>
      </c>
      <c r="G181" s="82">
        <f aca="true" t="shared" si="19" ref="G181:G199">(C181-A181)*SQRT(1+$J$131*$J$129*($J$129*A181/$J$114+$J$130)^($J$131-1))/((1+$J$131*$J$129*($J$129*A181/$J$114+$J$130)^($J$131-1))+1)</f>
        <v>4.663061085702506</v>
      </c>
      <c r="H181" s="106">
        <f aca="true" t="shared" si="20" ref="H181:H199">E181-D181*TAN(RADIANS(I181))</f>
        <v>1.6650377100296656</v>
      </c>
      <c r="I181" s="138">
        <f aca="true" t="shared" si="21" ref="I181:I199">90-DEGREES(ASIN(2*E181/(B181-A181)))</f>
        <v>27.130137620830546</v>
      </c>
      <c r="J181" s="110">
        <f aca="true" t="shared" si="22" ref="J181:J199">G181-F181*TAN(RADIANS(K181))</f>
        <v>1.5635051664094495</v>
      </c>
      <c r="K181" s="140">
        <f aca="true" t="shared" si="23" ref="K181:K199">90-DEGREES(ASIN(2*G181/(C181-A181)))</f>
        <v>26.18476348303694</v>
      </c>
      <c r="L181" s="139"/>
      <c r="M181" s="82"/>
    </row>
    <row r="182" spans="1:13" s="16" customFormat="1" ht="12.75">
      <c r="A182" s="262">
        <f t="shared" si="13"/>
        <v>3.600000000000002</v>
      </c>
      <c r="B182" s="106">
        <f t="shared" si="14"/>
        <v>15.07912277827347</v>
      </c>
      <c r="C182" s="322">
        <f t="shared" si="15"/>
        <v>14.304298054112829</v>
      </c>
      <c r="D182" s="106">
        <f t="shared" si="16"/>
        <v>6.760891405623549</v>
      </c>
      <c r="E182" s="90">
        <f t="shared" si="17"/>
        <v>5.127672576890737</v>
      </c>
      <c r="F182" s="89">
        <f t="shared" si="18"/>
        <v>6.626013715997877</v>
      </c>
      <c r="G182" s="82">
        <f t="shared" si="19"/>
        <v>4.820227559199619</v>
      </c>
      <c r="H182" s="106">
        <f t="shared" si="20"/>
        <v>1.727668487697266</v>
      </c>
      <c r="I182" s="138">
        <f t="shared" si="21"/>
        <v>26.697497118434256</v>
      </c>
      <c r="J182" s="110">
        <f t="shared" si="22"/>
        <v>1.6226597499943352</v>
      </c>
      <c r="K182" s="140">
        <f t="shared" si="23"/>
        <v>25.760929747716958</v>
      </c>
      <c r="L182" s="139"/>
      <c r="M182" s="82"/>
    </row>
    <row r="183" spans="1:13" s="16" customFormat="1" ht="12.75">
      <c r="A183" s="262">
        <f t="shared" si="13"/>
        <v>3.800000000000002</v>
      </c>
      <c r="B183" s="106">
        <f t="shared" si="14"/>
        <v>15.601246205559736</v>
      </c>
      <c r="C183" s="322">
        <f t="shared" si="15"/>
        <v>14.807850534218918</v>
      </c>
      <c r="D183" s="106">
        <f t="shared" si="16"/>
        <v>7.087098310560574</v>
      </c>
      <c r="E183" s="90">
        <f t="shared" si="17"/>
        <v>5.2902590826456315</v>
      </c>
      <c r="F183" s="89">
        <f t="shared" si="18"/>
        <v>6.946348791370304</v>
      </c>
      <c r="G183" s="82">
        <f t="shared" si="19"/>
        <v>4.97343206518067</v>
      </c>
      <c r="H183" s="106">
        <f t="shared" si="20"/>
        <v>1.7890492458142342</v>
      </c>
      <c r="I183" s="138">
        <f t="shared" si="21"/>
        <v>26.290562926793434</v>
      </c>
      <c r="J183" s="110">
        <f t="shared" si="22"/>
        <v>1.6806257519172307</v>
      </c>
      <c r="K183" s="140">
        <f t="shared" si="23"/>
        <v>25.362547888190576</v>
      </c>
      <c r="L183" s="139"/>
      <c r="M183" s="82"/>
    </row>
    <row r="184" spans="1:13" s="16" customFormat="1" ht="12.75">
      <c r="A184" s="262">
        <f t="shared" si="13"/>
        <v>4.000000000000002</v>
      </c>
      <c r="B184" s="106">
        <f t="shared" si="14"/>
        <v>16.1153961754506</v>
      </c>
      <c r="C184" s="322">
        <f t="shared" si="15"/>
        <v>15.303934283306939</v>
      </c>
      <c r="D184" s="106">
        <f t="shared" si="16"/>
        <v>7.411049869282028</v>
      </c>
      <c r="E184" s="90">
        <f t="shared" si="17"/>
        <v>5.4489411200564275</v>
      </c>
      <c r="F184" s="89">
        <f t="shared" si="18"/>
        <v>7.264508090697797</v>
      </c>
      <c r="G184" s="82">
        <f t="shared" si="19"/>
        <v>5.122965142409258</v>
      </c>
      <c r="H184" s="106">
        <f t="shared" si="20"/>
        <v>1.8492615674305415</v>
      </c>
      <c r="I184" s="138">
        <f t="shared" si="21"/>
        <v>25.906675386605272</v>
      </c>
      <c r="J184" s="110">
        <f t="shared" si="22"/>
        <v>1.7374813240046958</v>
      </c>
      <c r="K184" s="140">
        <f t="shared" si="23"/>
        <v>24.986964482126012</v>
      </c>
      <c r="L184" s="139"/>
      <c r="M184" s="82"/>
    </row>
    <row r="185" spans="1:13" s="16" customFormat="1" ht="12.75">
      <c r="A185" s="262">
        <f t="shared" si="13"/>
        <v>4.200000000000002</v>
      </c>
      <c r="B185" s="106">
        <f t="shared" si="14"/>
        <v>16.622150252522587</v>
      </c>
      <c r="C185" s="322">
        <f t="shared" si="15"/>
        <v>15.793090104187634</v>
      </c>
      <c r="D185" s="106">
        <f t="shared" si="16"/>
        <v>7.732877060497049</v>
      </c>
      <c r="E185" s="90">
        <f t="shared" si="17"/>
        <v>5.603990483985352</v>
      </c>
      <c r="F185" s="89">
        <f t="shared" si="18"/>
        <v>7.580619525600122</v>
      </c>
      <c r="G185" s="82">
        <f t="shared" si="19"/>
        <v>5.269083259105842</v>
      </c>
      <c r="H185" s="106">
        <f t="shared" si="20"/>
        <v>1.9083781439216345</v>
      </c>
      <c r="I185" s="138">
        <f t="shared" si="21"/>
        <v>25.543560071687537</v>
      </c>
      <c r="J185" s="110">
        <f t="shared" si="22"/>
        <v>1.793296045669062</v>
      </c>
      <c r="K185" s="140">
        <f t="shared" si="23"/>
        <v>24.63191272558207</v>
      </c>
      <c r="L185" s="139"/>
      <c r="M185" s="82"/>
    </row>
    <row r="186" spans="1:13" s="16" customFormat="1" ht="12.75">
      <c r="A186" s="262">
        <f t="shared" si="13"/>
        <v>4.400000000000002</v>
      </c>
      <c r="B186" s="106">
        <f t="shared" si="14"/>
        <v>17.122019177770472</v>
      </c>
      <c r="C186" s="322">
        <f t="shared" si="15"/>
        <v>16.275796189800783</v>
      </c>
      <c r="D186" s="106">
        <f t="shared" si="16"/>
        <v>8.052698045218516</v>
      </c>
      <c r="E186" s="90">
        <f t="shared" si="17"/>
        <v>5.75564866651288</v>
      </c>
      <c r="F186" s="89">
        <f t="shared" si="18"/>
        <v>7.89479836521385</v>
      </c>
      <c r="G186" s="82">
        <f t="shared" si="19"/>
        <v>5.412014181081496</v>
      </c>
      <c r="H186" s="106">
        <f t="shared" si="20"/>
        <v>1.9664641041512816</v>
      </c>
      <c r="I186" s="138">
        <f t="shared" si="21"/>
        <v>25.199257250108815</v>
      </c>
      <c r="J186" s="110">
        <f t="shared" si="22"/>
        <v>1.8481322128104147</v>
      </c>
      <c r="K186" s="140">
        <f t="shared" si="23"/>
        <v>24.295441291750066</v>
      </c>
      <c r="L186" s="139"/>
      <c r="M186" s="82"/>
    </row>
    <row r="187" spans="1:13" s="16" customFormat="1" ht="12.75">
      <c r="A187" s="262">
        <f t="shared" si="13"/>
        <v>4.600000000000002</v>
      </c>
      <c r="B187" s="106">
        <f t="shared" si="14"/>
        <v>17.615457234788696</v>
      </c>
      <c r="C187" s="322">
        <f t="shared" si="15"/>
        <v>16.75247784551337</v>
      </c>
      <c r="D187" s="106">
        <f t="shared" si="16"/>
        <v>8.370619905099222</v>
      </c>
      <c r="E187" s="90">
        <f t="shared" si="17"/>
        <v>5.90413140561179</v>
      </c>
      <c r="F187" s="89">
        <f t="shared" si="18"/>
        <v>8.207148964882347</v>
      </c>
      <c r="G187" s="82">
        <f t="shared" si="19"/>
        <v>5.55196129546554</v>
      </c>
      <c r="H187" s="106">
        <f t="shared" si="20"/>
        <v>2.0235780954701403</v>
      </c>
      <c r="I187" s="138">
        <f t="shared" si="21"/>
        <v>24.872066748580153</v>
      </c>
      <c r="J187" s="110">
        <f t="shared" si="22"/>
        <v>1.9020458847583077</v>
      </c>
      <c r="K187" s="140">
        <f t="shared" si="23"/>
        <v>23.97585879026917</v>
      </c>
      <c r="L187" s="139"/>
      <c r="M187" s="82"/>
    </row>
    <row r="188" spans="1:13" s="16" customFormat="1" ht="12.75">
      <c r="A188" s="262">
        <f t="shared" si="13"/>
        <v>4.8000000000000025</v>
      </c>
      <c r="B188" s="106">
        <f t="shared" si="14"/>
        <v>18.102870633847374</v>
      </c>
      <c r="C188" s="322">
        <f t="shared" si="15"/>
        <v>17.22351535023879</v>
      </c>
      <c r="D188" s="106">
        <f t="shared" si="16"/>
        <v>8.686740083553854</v>
      </c>
      <c r="E188" s="90">
        <f t="shared" si="17"/>
        <v>6.04963238898049</v>
      </c>
      <c r="F188" s="89">
        <f t="shared" si="18"/>
        <v>8.517766197221263</v>
      </c>
      <c r="G188" s="82">
        <f t="shared" si="19"/>
        <v>5.689107128766005</v>
      </c>
      <c r="H188" s="106">
        <f t="shared" si="20"/>
        <v>2.0797731713741547</v>
      </c>
      <c r="I188" s="138">
        <f t="shared" si="21"/>
        <v>24.560504355998802</v>
      </c>
      <c r="J188" s="110">
        <f t="shared" si="22"/>
        <v>1.9550877429847437</v>
      </c>
      <c r="K188" s="140">
        <f t="shared" si="23"/>
        <v>23.671689898887763</v>
      </c>
      <c r="L188" s="139"/>
      <c r="M188" s="82"/>
    </row>
    <row r="189" spans="1:13" s="16" customFormat="1" ht="12.75">
      <c r="A189" s="262">
        <f t="shared" si="13"/>
        <v>5.000000000000003</v>
      </c>
      <c r="B189" s="106">
        <f t="shared" si="14"/>
        <v>18.58462435854906</v>
      </c>
      <c r="C189" s="322">
        <f t="shared" si="15"/>
        <v>17.689250374459828</v>
      </c>
      <c r="D189" s="106">
        <f t="shared" si="16"/>
        <v>9.001147590276494</v>
      </c>
      <c r="E189" s="90">
        <f t="shared" si="17"/>
        <v>6.192326297753092</v>
      </c>
      <c r="F189" s="89">
        <f t="shared" si="18"/>
        <v>8.82673664661882</v>
      </c>
      <c r="G189" s="82">
        <f t="shared" si="19"/>
        <v>5.823616235938932</v>
      </c>
      <c r="H189" s="106">
        <f t="shared" si="20"/>
        <v>2.135097526807839</v>
      </c>
      <c r="I189" s="138">
        <f t="shared" si="21"/>
        <v>24.26326698732578</v>
      </c>
      <c r="J189" s="110">
        <f t="shared" si="22"/>
        <v>2.0073038016890012</v>
      </c>
      <c r="K189" s="140">
        <f t="shared" si="23"/>
        <v>23.381640346248375</v>
      </c>
      <c r="L189" s="139"/>
      <c r="M189" s="82"/>
    </row>
    <row r="190" spans="1:13" s="16" customFormat="1" ht="12.75">
      <c r="A190" s="262">
        <f aca="true" t="shared" si="24" ref="A190:A199">A189+0.5</f>
        <v>5.500000000000003</v>
      </c>
      <c r="B190" s="106">
        <f t="shared" si="14"/>
        <v>19.76633419723368</v>
      </c>
      <c r="C190" s="322">
        <f t="shared" si="15"/>
        <v>18.832342833568582</v>
      </c>
      <c r="D190" s="106">
        <f t="shared" si="16"/>
        <v>9.78019289494793</v>
      </c>
      <c r="E190" s="90">
        <f t="shared" si="17"/>
        <v>6.53778334376335</v>
      </c>
      <c r="F190" s="89">
        <f t="shared" si="18"/>
        <v>9.59246285567998</v>
      </c>
      <c r="G190" s="82">
        <f t="shared" si="19"/>
        <v>6.149297976228686</v>
      </c>
      <c r="H190" s="106">
        <f t="shared" si="20"/>
        <v>2.2698783721478817</v>
      </c>
      <c r="I190" s="138">
        <f t="shared" si="21"/>
        <v>23.575613853789832</v>
      </c>
      <c r="J190" s="110">
        <f t="shared" si="22"/>
        <v>2.134497608906143</v>
      </c>
      <c r="K190" s="140">
        <f t="shared" si="23"/>
        <v>22.71111277223102</v>
      </c>
      <c r="L190" s="139"/>
      <c r="M190" s="82"/>
    </row>
    <row r="191" spans="1:13" s="16" customFormat="1" ht="12.75">
      <c r="A191" s="262">
        <f t="shared" si="24"/>
        <v>6.000000000000003</v>
      </c>
      <c r="B191" s="106">
        <f t="shared" si="14"/>
        <v>20.919023329439007</v>
      </c>
      <c r="C191" s="322">
        <f t="shared" si="15"/>
        <v>19.94824100667133</v>
      </c>
      <c r="D191" s="106">
        <f t="shared" si="16"/>
        <v>10.550135827550104</v>
      </c>
      <c r="E191" s="90">
        <f t="shared" si="17"/>
        <v>6.868758731690986</v>
      </c>
      <c r="F191" s="89">
        <f t="shared" si="18"/>
        <v>10.34945204554007</v>
      </c>
      <c r="G191" s="82">
        <f t="shared" si="19"/>
        <v>6.461383155462906</v>
      </c>
      <c r="H191" s="106">
        <f t="shared" si="20"/>
        <v>2.4000750212102986</v>
      </c>
      <c r="I191" s="138">
        <f t="shared" si="21"/>
        <v>22.955886485730517</v>
      </c>
      <c r="J191" s="110">
        <f t="shared" si="22"/>
        <v>2.257348247483355</v>
      </c>
      <c r="K191" s="140">
        <f t="shared" si="23"/>
        <v>22.107405077733333</v>
      </c>
      <c r="L191" s="139"/>
      <c r="M191" s="82"/>
    </row>
    <row r="192" spans="1:13" s="16" customFormat="1" ht="12.75">
      <c r="A192" s="262">
        <f t="shared" si="24"/>
        <v>6.500000000000003</v>
      </c>
      <c r="B192" s="106">
        <f t="shared" si="14"/>
        <v>22.046186068041468</v>
      </c>
      <c r="C192" s="322">
        <f t="shared" si="15"/>
        <v>21.040215788984245</v>
      </c>
      <c r="D192" s="106">
        <f t="shared" si="16"/>
        <v>11.31189154691936</v>
      </c>
      <c r="E192" s="90">
        <f t="shared" si="17"/>
        <v>7.186950748984596</v>
      </c>
      <c r="F192" s="89">
        <f t="shared" si="18"/>
        <v>11.098591039295119</v>
      </c>
      <c r="G192" s="82">
        <f t="shared" si="19"/>
        <v>6.761469255269521</v>
      </c>
      <c r="H192" s="106">
        <f t="shared" si="20"/>
        <v>2.526171617389789</v>
      </c>
      <c r="I192" s="138">
        <f t="shared" si="21"/>
        <v>22.39287266796059</v>
      </c>
      <c r="J192" s="110">
        <f t="shared" si="22"/>
        <v>2.3763168703337048</v>
      </c>
      <c r="K192" s="140">
        <f t="shared" si="23"/>
        <v>21.55941838859613</v>
      </c>
      <c r="L192" s="139"/>
      <c r="M192" s="82"/>
    </row>
    <row r="193" spans="1:13" s="16" customFormat="1" ht="12.75">
      <c r="A193" s="262">
        <f t="shared" si="24"/>
        <v>7.000000000000003</v>
      </c>
      <c r="B193" s="106">
        <f t="shared" si="14"/>
        <v>23.1506645282662</v>
      </c>
      <c r="C193" s="322">
        <f t="shared" si="15"/>
        <v>22.11092762621868</v>
      </c>
      <c r="D193" s="106">
        <f t="shared" si="16"/>
        <v>12.066226162554871</v>
      </c>
      <c r="E193" s="90">
        <f t="shared" si="17"/>
        <v>7.493748837904407</v>
      </c>
      <c r="F193" s="89">
        <f t="shared" si="18"/>
        <v>11.840621089177432</v>
      </c>
      <c r="G193" s="82">
        <f t="shared" si="19"/>
        <v>7.050862529897932</v>
      </c>
      <c r="H193" s="106">
        <f t="shared" si="20"/>
        <v>2.6485698021308686</v>
      </c>
      <c r="I193" s="138">
        <f t="shared" si="21"/>
        <v>21.877869985166228</v>
      </c>
      <c r="J193" s="110">
        <f t="shared" si="22"/>
        <v>2.491785697172701</v>
      </c>
      <c r="K193" s="140">
        <f t="shared" si="23"/>
        <v>21.058550205133443</v>
      </c>
      <c r="L193" s="139"/>
      <c r="M193" s="82"/>
    </row>
    <row r="194" spans="1:13" s="16" customFormat="1" ht="12.75">
      <c r="A194" s="262">
        <f t="shared" si="24"/>
        <v>7.500000000000003</v>
      </c>
      <c r="B194" s="106">
        <f t="shared" si="14"/>
        <v>24.2348075600543</v>
      </c>
      <c r="C194" s="322">
        <f t="shared" si="15"/>
        <v>23.162575316365114</v>
      </c>
      <c r="D194" s="106">
        <f t="shared" si="16"/>
        <v>12.813789305626969</v>
      </c>
      <c r="E194" s="90">
        <f t="shared" si="17"/>
        <v>7.790307096626313</v>
      </c>
      <c r="F194" s="89">
        <f t="shared" si="18"/>
        <v>12.576169894043856</v>
      </c>
      <c r="G194" s="82">
        <f t="shared" si="19"/>
        <v>7.330647481016242</v>
      </c>
      <c r="H194" s="106">
        <f t="shared" si="20"/>
        <v>2.7676074764121363</v>
      </c>
      <c r="I194" s="138">
        <f t="shared" si="21"/>
        <v>21.40399423707727</v>
      </c>
      <c r="J194" s="110">
        <f t="shared" si="22"/>
        <v>2.604076032909558</v>
      </c>
      <c r="K194" s="140">
        <f t="shared" si="23"/>
        <v>20.59800384191658</v>
      </c>
      <c r="L194" s="139"/>
      <c r="M194" s="82"/>
    </row>
    <row r="195" spans="1:13" s="16" customFormat="1" ht="12.75">
      <c r="A195" s="262">
        <f t="shared" si="24"/>
        <v>8.000000000000004</v>
      </c>
      <c r="B195" s="106">
        <f t="shared" si="14"/>
        <v>25.300583062844282</v>
      </c>
      <c r="C195" s="322">
        <f t="shared" si="15"/>
        <v>24.197001145374546</v>
      </c>
      <c r="D195" s="106">
        <f t="shared" si="16"/>
        <v>13.555137971639866</v>
      </c>
      <c r="E195" s="90">
        <f t="shared" si="17"/>
        <v>8.077596673513767</v>
      </c>
      <c r="F195" s="89">
        <f t="shared" si="18"/>
        <v>13.305774989900307</v>
      </c>
      <c r="G195" s="82">
        <f t="shared" si="19"/>
        <v>7.6017363375128495</v>
      </c>
      <c r="H195" s="106">
        <f t="shared" si="20"/>
        <v>2.8835723563760753</v>
      </c>
      <c r="I195" s="138">
        <f t="shared" si="21"/>
        <v>20.965709949355983</v>
      </c>
      <c r="J195" s="110">
        <f t="shared" si="22"/>
        <v>2.713461269390791</v>
      </c>
      <c r="K195" s="140">
        <f t="shared" si="23"/>
        <v>20.172320357958824</v>
      </c>
      <c r="L195" s="139"/>
      <c r="M195" s="82"/>
    </row>
    <row r="196" spans="1:13" s="16" customFormat="1" ht="12.75">
      <c r="A196" s="262">
        <f t="shared" si="24"/>
        <v>8.500000000000004</v>
      </c>
      <c r="B196" s="106">
        <f t="shared" si="14"/>
        <v>26.34965938757727</v>
      </c>
      <c r="C196" s="322">
        <f t="shared" si="15"/>
        <v>25.215767075219834</v>
      </c>
      <c r="D196" s="106">
        <f t="shared" si="16"/>
        <v>14.290754357818427</v>
      </c>
      <c r="E196" s="90">
        <f t="shared" si="17"/>
        <v>8.356444031500152</v>
      </c>
      <c r="F196" s="89">
        <f t="shared" si="18"/>
        <v>14.029901217553835</v>
      </c>
      <c r="G196" s="82">
        <f t="shared" si="19"/>
        <v>7.864905163172728</v>
      </c>
      <c r="H196" s="106">
        <f t="shared" si="20"/>
        <v>2.9967119975853516</v>
      </c>
      <c r="I196" s="138">
        <f t="shared" si="21"/>
        <v>20.55850268719402</v>
      </c>
      <c r="J196" s="110">
        <f t="shared" si="22"/>
        <v>2.8201764891183787</v>
      </c>
      <c r="K196" s="140">
        <f t="shared" si="23"/>
        <v>19.77705231536453</v>
      </c>
      <c r="L196" s="139"/>
      <c r="M196" s="82"/>
    </row>
    <row r="197" spans="1:13" s="16" customFormat="1" ht="12.75">
      <c r="A197" s="262">
        <f t="shared" si="24"/>
        <v>9.000000000000004</v>
      </c>
      <c r="B197" s="106">
        <f t="shared" si="14"/>
        <v>27.383465634580638</v>
      </c>
      <c r="C197" s="322">
        <f t="shared" si="15"/>
        <v>26.22021117373159</v>
      </c>
      <c r="D197" s="106">
        <f t="shared" si="16"/>
        <v>15.021059461758387</v>
      </c>
      <c r="E197" s="90">
        <f t="shared" si="17"/>
        <v>8.627559484406447</v>
      </c>
      <c r="F197" s="89">
        <f t="shared" si="18"/>
        <v>14.748954017721243</v>
      </c>
      <c r="G197" s="82">
        <f t="shared" si="19"/>
        <v>8.120820766114667</v>
      </c>
      <c r="H197" s="106">
        <f t="shared" si="20"/>
        <v>3.1072413581345213</v>
      </c>
      <c r="I197" s="138">
        <f t="shared" si="21"/>
        <v>20.178644794817956</v>
      </c>
      <c r="J197" s="110">
        <f t="shared" si="22"/>
        <v>2.9244257037921972</v>
      </c>
      <c r="K197" s="140">
        <f t="shared" si="23"/>
        <v>19.408530846642506</v>
      </c>
      <c r="L197" s="139"/>
      <c r="M197" s="82"/>
    </row>
    <row r="198" spans="1:13" s="16" customFormat="1" ht="12.75">
      <c r="A198" s="262">
        <f t="shared" si="24"/>
        <v>9.500000000000004</v>
      </c>
      <c r="B198" s="106">
        <f t="shared" si="14"/>
        <v>28.40323717598469</v>
      </c>
      <c r="C198" s="322">
        <f t="shared" si="15"/>
        <v>27.211490213623435</v>
      </c>
      <c r="D198" s="106">
        <f t="shared" si="16"/>
        <v>15.74642362105038</v>
      </c>
      <c r="E198" s="90">
        <f t="shared" si="17"/>
        <v>8.891558871017626</v>
      </c>
      <c r="F198" s="89">
        <f t="shared" si="18"/>
        <v>15.463289720131872</v>
      </c>
      <c r="G198" s="82">
        <f t="shared" si="19"/>
        <v>8.37006112479989</v>
      </c>
      <c r="H198" s="106">
        <f t="shared" si="20"/>
        <v>3.215348605792159</v>
      </c>
      <c r="I198" s="138">
        <f t="shared" si="21"/>
        <v>19.823024385440036</v>
      </c>
      <c r="J198" s="110">
        <f t="shared" si="22"/>
        <v>3.0263874072610744</v>
      </c>
      <c r="K198" s="140">
        <f t="shared" si="23"/>
        <v>19.06369581057855</v>
      </c>
      <c r="L198" s="139"/>
      <c r="M198" s="82"/>
    </row>
    <row r="199" spans="1:13" s="16" customFormat="1" ht="13.5" thickBot="1">
      <c r="A199" s="263">
        <f t="shared" si="24"/>
        <v>10.000000000000004</v>
      </c>
      <c r="B199" s="107">
        <f t="shared" si="14"/>
        <v>29.410050602970898</v>
      </c>
      <c r="C199" s="323">
        <f t="shared" si="15"/>
        <v>28.190612373793982</v>
      </c>
      <c r="D199" s="107">
        <f t="shared" si="16"/>
        <v>16.467174801836443</v>
      </c>
      <c r="E199" s="102">
        <f t="shared" si="17"/>
        <v>9.148980284403033</v>
      </c>
      <c r="F199" s="100">
        <f t="shared" si="18"/>
        <v>16.173223624101045</v>
      </c>
      <c r="G199" s="101">
        <f t="shared" si="19"/>
        <v>8.613131145501647</v>
      </c>
      <c r="H199" s="107">
        <f t="shared" si="20"/>
        <v>3.321199646288716</v>
      </c>
      <c r="I199" s="141">
        <f t="shared" si="21"/>
        <v>19.489018183959516</v>
      </c>
      <c r="J199" s="111">
        <f t="shared" si="22"/>
        <v>3.126218902110672</v>
      </c>
      <c r="K199" s="112">
        <f t="shared" si="23"/>
        <v>18.739969636299847</v>
      </c>
      <c r="L199" s="139"/>
      <c r="M199" s="82"/>
    </row>
    <row r="200" spans="1:38" s="2" customFormat="1" ht="12.75">
      <c r="A200" s="3"/>
      <c r="B200" s="3"/>
      <c r="C200" s="3"/>
      <c r="D200" s="3"/>
      <c r="E200" s="3"/>
      <c r="F200" s="3"/>
      <c r="G200" s="3"/>
      <c r="H200" s="16"/>
      <c r="I200" s="91"/>
      <c r="J200" s="16"/>
      <c r="K200" s="16"/>
      <c r="L200" s="3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</row>
    <row r="201" spans="1:8" s="3" customFormat="1" ht="15">
      <c r="A201" s="76" t="s">
        <v>82</v>
      </c>
      <c r="H201" s="48"/>
    </row>
    <row r="202" spans="1:13" s="3" customFormat="1" ht="13.5" thickBot="1">
      <c r="A202" s="76"/>
      <c r="H202" s="48"/>
      <c r="L202" s="21"/>
      <c r="M202" s="88"/>
    </row>
    <row r="203" spans="1:13" s="3" customFormat="1" ht="12.75">
      <c r="A203" s="188"/>
      <c r="B203" s="103"/>
      <c r="C203" s="318" t="s">
        <v>130</v>
      </c>
      <c r="D203" s="103" t="s">
        <v>95</v>
      </c>
      <c r="E203" s="95"/>
      <c r="F203" s="241" t="s">
        <v>93</v>
      </c>
      <c r="G203" s="222"/>
      <c r="H203" s="103" t="s">
        <v>95</v>
      </c>
      <c r="I203" s="95"/>
      <c r="J203" s="241" t="s">
        <v>93</v>
      </c>
      <c r="K203" s="96"/>
      <c r="L203" s="93"/>
      <c r="M203" s="88"/>
    </row>
    <row r="204" spans="1:13" s="3" customFormat="1" ht="12" customHeight="1">
      <c r="A204" s="189"/>
      <c r="B204" s="104" t="s">
        <v>114</v>
      </c>
      <c r="C204" s="319" t="s">
        <v>129</v>
      </c>
      <c r="D204" s="171" t="s">
        <v>96</v>
      </c>
      <c r="E204" s="172"/>
      <c r="F204" s="173" t="s">
        <v>94</v>
      </c>
      <c r="G204" s="223"/>
      <c r="H204" s="171" t="s">
        <v>96</v>
      </c>
      <c r="I204" s="172"/>
      <c r="J204" s="173" t="s">
        <v>94</v>
      </c>
      <c r="K204" s="174"/>
      <c r="L204" s="84"/>
      <c r="M204" s="88"/>
    </row>
    <row r="205" spans="1:21" s="3" customFormat="1" ht="14.25">
      <c r="A205" s="190" t="s">
        <v>68</v>
      </c>
      <c r="B205" s="105" t="s">
        <v>69</v>
      </c>
      <c r="C205" s="320" t="s">
        <v>69</v>
      </c>
      <c r="D205" s="108" t="s">
        <v>70</v>
      </c>
      <c r="E205" s="85" t="s">
        <v>71</v>
      </c>
      <c r="F205" s="92" t="s">
        <v>70</v>
      </c>
      <c r="G205" s="85" t="s">
        <v>71</v>
      </c>
      <c r="H205" s="224" t="s">
        <v>72</v>
      </c>
      <c r="I205" s="134" t="s">
        <v>73</v>
      </c>
      <c r="J205" s="135" t="s">
        <v>72</v>
      </c>
      <c r="K205" s="136" t="s">
        <v>73</v>
      </c>
      <c r="L205" s="22"/>
      <c r="M205" s="22"/>
      <c r="N205" s="227"/>
      <c r="O205" s="227"/>
      <c r="P205" s="22"/>
      <c r="Q205" s="22"/>
      <c r="R205" s="84"/>
      <c r="S205" s="84"/>
      <c r="T205" s="84"/>
      <c r="U205" s="84"/>
    </row>
    <row r="206" spans="1:31" s="3" customFormat="1" ht="12.75">
      <c r="A206" s="191" t="s">
        <v>34</v>
      </c>
      <c r="B206" s="104" t="s">
        <v>34</v>
      </c>
      <c r="C206" s="319" t="s">
        <v>34</v>
      </c>
      <c r="D206" s="104" t="s">
        <v>34</v>
      </c>
      <c r="E206" s="81" t="s">
        <v>34</v>
      </c>
      <c r="F206" s="29" t="s">
        <v>34</v>
      </c>
      <c r="G206" s="81" t="s">
        <v>34</v>
      </c>
      <c r="H206" s="104" t="s">
        <v>83</v>
      </c>
      <c r="I206" s="81" t="s">
        <v>78</v>
      </c>
      <c r="J206" s="29" t="s">
        <v>83</v>
      </c>
      <c r="K206" s="109" t="s">
        <v>78</v>
      </c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s="3" customFormat="1" ht="12.75">
      <c r="A207" s="182"/>
      <c r="B207" s="22"/>
      <c r="C207" s="321"/>
      <c r="D207" s="82">
        <f>D148</f>
        <v>8.71788586827571E-05</v>
      </c>
      <c r="E207" s="90">
        <f>E148</f>
        <v>0.1412505115785593</v>
      </c>
      <c r="F207" s="82">
        <f>F148</f>
        <v>-6.581538714045543E-05</v>
      </c>
      <c r="G207" s="82">
        <f>G148</f>
        <v>0.11337570448814496</v>
      </c>
      <c r="H207" s="225"/>
      <c r="I207" s="73"/>
      <c r="J207" s="22"/>
      <c r="K207" s="137"/>
      <c r="L207" s="113"/>
      <c r="M207" s="113"/>
      <c r="N207" s="82"/>
      <c r="O207" s="82"/>
      <c r="P207" s="228"/>
      <c r="Q207" s="228"/>
      <c r="R207" s="27"/>
      <c r="S207" s="27"/>
      <c r="T207" s="82"/>
      <c r="U207" s="8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29" s="3" customFormat="1" ht="12.75">
      <c r="A208" s="183">
        <v>0</v>
      </c>
      <c r="B208" s="106">
        <f aca="true" t="shared" si="25" ref="B208:B253">A208+$J$114*($J$121*A208/$J$114+$J$122)^$J$123</f>
        <v>1.19296652141202</v>
      </c>
      <c r="C208" s="322">
        <f aca="true" t="shared" si="26" ref="C208:C253">A208+$J$114*($J$129*A208/$J$114+$J$130)^$J$131</f>
        <v>0.972277044739981</v>
      </c>
      <c r="D208" s="82">
        <f aca="true" t="shared" si="27" ref="D208:D253">(B208+A208)/2-((B208-A208)/2*((1+$J$123*$J$121*($J$121*A208/$J$114+$J$122)^($J$123-1))-1)/((1+$J$123*$J$121*($J$121*A208/$J$114+$J$122)^($J$123-1))+1))</f>
        <v>0.07754197878732993</v>
      </c>
      <c r="E208" s="90">
        <f aca="true" t="shared" si="28" ref="E208:E253">(B208-A208)*SQRT(1+$J$123*$J$121*($J$121*A208/$J$114+$J$122)^($J$123-1))/((1+$J$123*$J$121*($J$121*A208/$J$114+$J$122)^($J$123-1))+1)</f>
        <v>0.29409560728285433</v>
      </c>
      <c r="F208" s="82">
        <f aca="true" t="shared" si="29" ref="F208:F253">(C208+A208)/2-((C208-A208)/2*((1+$J$131*$J$129*($J$129*A208/$J$114+$J$130)^($J$131-1))-1)/((1+$J$131*$J$129*($J$129*A208/$J$114+$J$130)^($J$131-1))+1))</f>
        <v>0.06159340937598018</v>
      </c>
      <c r="G208" s="82">
        <f aca="true" t="shared" si="30" ref="G208:G253">(C208-A208)*SQRT(1+$J$131*$J$129*($J$129*A208/$J$114+$J$130)^($J$131-1))/((1+$J$131*$J$129*($J$129*A208/$J$114+$J$130)^($J$131-1))+1)</f>
        <v>0.23683772918388812</v>
      </c>
      <c r="H208" s="226">
        <f aca="true" t="shared" si="31" ref="H208:H253">1000*(E208-D208*TAN(RADIANS(I208)))</f>
        <v>157.27025906979364</v>
      </c>
      <c r="I208" s="138">
        <f aca="true" t="shared" si="32" ref="I208:I253">90-DEGREES(ASIN(2*E208/(B208-A208)))</f>
        <v>60.45880414289966</v>
      </c>
      <c r="J208" s="113">
        <f aca="true" t="shared" si="33" ref="J208:J253">1000*(G208-F208*TAN(RADIANS(K208)))</f>
        <v>126.42803629703897</v>
      </c>
      <c r="K208" s="140">
        <f aca="true" t="shared" si="34" ref="K208:K253">90-DEGREES(ASIN(2*G208/(C208-A208)))</f>
        <v>60.844497840052426</v>
      </c>
      <c r="L208" s="113"/>
      <c r="M208" s="82"/>
      <c r="N208" s="2"/>
      <c r="O208" s="2"/>
      <c r="P208" s="82"/>
      <c r="Q208" s="82"/>
      <c r="R208" s="175"/>
      <c r="S208" s="175"/>
      <c r="T208" s="82"/>
      <c r="U208" s="82"/>
      <c r="V208" s="82"/>
      <c r="W208" s="82"/>
      <c r="X208" s="82"/>
      <c r="Y208" s="24"/>
      <c r="Z208" s="82"/>
      <c r="AA208" s="24"/>
      <c r="AB208" s="2"/>
      <c r="AC208" s="2"/>
    </row>
    <row r="209" spans="1:21" s="3" customFormat="1" ht="12.75">
      <c r="A209" s="264">
        <v>0.01</v>
      </c>
      <c r="B209" s="106">
        <f t="shared" si="25"/>
        <v>1.3304938322602577</v>
      </c>
      <c r="C209" s="322">
        <f t="shared" si="26"/>
        <v>1.1122200448269912</v>
      </c>
      <c r="D209" s="106">
        <f t="shared" si="27"/>
        <v>0.10313032608311068</v>
      </c>
      <c r="E209" s="90">
        <f t="shared" si="28"/>
        <v>0.33808987496342996</v>
      </c>
      <c r="F209" s="89">
        <f t="shared" si="29"/>
        <v>0.0871244628015656</v>
      </c>
      <c r="G209" s="82">
        <f t="shared" si="30"/>
        <v>0.28117600552673255</v>
      </c>
      <c r="H209" s="226">
        <f t="shared" si="31"/>
        <v>165.09765251069567</v>
      </c>
      <c r="I209" s="138">
        <f t="shared" si="32"/>
        <v>59.198469154746356</v>
      </c>
      <c r="J209" s="113">
        <f t="shared" si="33"/>
        <v>134.30807780463292</v>
      </c>
      <c r="K209" s="140">
        <f t="shared" si="34"/>
        <v>59.32288707868089</v>
      </c>
      <c r="L209" s="113"/>
      <c r="M209" s="82"/>
      <c r="N209" s="2"/>
      <c r="O209" s="2"/>
      <c r="P209" s="120"/>
      <c r="Q209" s="120"/>
      <c r="R209" s="22"/>
      <c r="S209" s="2"/>
      <c r="T209" s="2"/>
      <c r="U209" s="2"/>
    </row>
    <row r="210" spans="1:38" s="16" customFormat="1" ht="12.75">
      <c r="A210" s="264">
        <v>0.02</v>
      </c>
      <c r="B210" s="106">
        <f t="shared" si="25"/>
        <v>1.4574768537766902</v>
      </c>
      <c r="C210" s="322">
        <f t="shared" si="26"/>
        <v>1.239450537758619</v>
      </c>
      <c r="D210" s="106">
        <f t="shared" si="27"/>
        <v>0.1284481416669494</v>
      </c>
      <c r="E210" s="90">
        <f t="shared" si="28"/>
        <v>0.37964548469634213</v>
      </c>
      <c r="F210" s="89">
        <f t="shared" si="29"/>
        <v>0.11233837727217766</v>
      </c>
      <c r="G210" s="82">
        <f t="shared" si="30"/>
        <v>0.3226076686984614</v>
      </c>
      <c r="H210" s="226">
        <f t="shared" si="31"/>
        <v>173.16165656183588</v>
      </c>
      <c r="I210" s="138">
        <f t="shared" si="32"/>
        <v>58.115346681784374</v>
      </c>
      <c r="J210" s="113">
        <f t="shared" si="33"/>
        <v>142.443309743412</v>
      </c>
      <c r="K210" s="140">
        <f t="shared" si="34"/>
        <v>58.055109712453046</v>
      </c>
      <c r="L210" s="113"/>
      <c r="M210" s="82"/>
      <c r="N210" s="229"/>
      <c r="O210" s="230"/>
      <c r="P210" s="185"/>
      <c r="T210" s="2"/>
      <c r="U210" s="2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</row>
    <row r="211" spans="1:13" s="16" customFormat="1" ht="12.75">
      <c r="A211" s="264">
        <v>0.03</v>
      </c>
      <c r="B211" s="106">
        <f t="shared" si="25"/>
        <v>1.5762105652369929</v>
      </c>
      <c r="C211" s="322">
        <f t="shared" si="26"/>
        <v>1.3571736330082733</v>
      </c>
      <c r="D211" s="106">
        <f t="shared" si="27"/>
        <v>0.15352499654317375</v>
      </c>
      <c r="E211" s="90">
        <f t="shared" si="28"/>
        <v>0.4192102455271426</v>
      </c>
      <c r="F211" s="89">
        <f t="shared" si="29"/>
        <v>0.13727589621598835</v>
      </c>
      <c r="G211" s="82">
        <f t="shared" si="30"/>
        <v>0.3617535390376274</v>
      </c>
      <c r="H211" s="226">
        <f t="shared" si="31"/>
        <v>181.3181323493631</v>
      </c>
      <c r="I211" s="138">
        <f t="shared" si="32"/>
        <v>57.16359967441124</v>
      </c>
      <c r="J211" s="113">
        <f t="shared" si="33"/>
        <v>150.6482645447815</v>
      </c>
      <c r="K211" s="140">
        <f t="shared" si="34"/>
        <v>56.96516913184869</v>
      </c>
      <c r="L211" s="113"/>
      <c r="M211" s="82"/>
    </row>
    <row r="212" spans="1:13" s="16" customFormat="1" ht="12.75">
      <c r="A212" s="264">
        <v>0.04</v>
      </c>
      <c r="B212" s="106">
        <f t="shared" si="25"/>
        <v>1.6882589754349064</v>
      </c>
      <c r="C212" s="322">
        <f t="shared" si="26"/>
        <v>1.4674338801879678</v>
      </c>
      <c r="D212" s="106">
        <f t="shared" si="27"/>
        <v>0.17838401756025557</v>
      </c>
      <c r="E212" s="90">
        <f t="shared" si="28"/>
        <v>0.45710235471316024</v>
      </c>
      <c r="F212" s="89">
        <f t="shared" si="29"/>
        <v>0.16196753958506704</v>
      </c>
      <c r="G212" s="82">
        <f t="shared" si="30"/>
        <v>0.39902946955639357</v>
      </c>
      <c r="H212" s="226">
        <f t="shared" si="31"/>
        <v>189.4904495696197</v>
      </c>
      <c r="I212" s="138">
        <f t="shared" si="32"/>
        <v>56.31347800238072</v>
      </c>
      <c r="J212" s="113">
        <f t="shared" si="33"/>
        <v>158.83619621766263</v>
      </c>
      <c r="K212" s="140">
        <f t="shared" si="34"/>
        <v>56.007356884364754</v>
      </c>
      <c r="L212" s="113"/>
      <c r="M212" s="82"/>
    </row>
    <row r="213" spans="1:13" s="16" customFormat="1" ht="12.75">
      <c r="A213" s="264">
        <v>0.05</v>
      </c>
      <c r="B213" s="106">
        <f t="shared" si="25"/>
        <v>1.7947450728673044</v>
      </c>
      <c r="C213" s="322">
        <f t="shared" si="26"/>
        <v>1.5716309489561946</v>
      </c>
      <c r="D213" s="106">
        <f t="shared" si="27"/>
        <v>0.20304388193888379</v>
      </c>
      <c r="E213" s="90">
        <f t="shared" si="28"/>
        <v>0.4935586380020411</v>
      </c>
      <c r="F213" s="89">
        <f t="shared" si="29"/>
        <v>0.18643718455920244</v>
      </c>
      <c r="G213" s="82">
        <f t="shared" si="30"/>
        <v>0.4347320292815895</v>
      </c>
      <c r="H213" s="226">
        <f t="shared" si="31"/>
        <v>197.63578071048676</v>
      </c>
      <c r="I213" s="138">
        <f t="shared" si="32"/>
        <v>55.54450592897673</v>
      </c>
      <c r="J213" s="113">
        <f t="shared" si="33"/>
        <v>166.96401903229741</v>
      </c>
      <c r="K213" s="140">
        <f t="shared" si="34"/>
        <v>55.151900487588634</v>
      </c>
      <c r="L213" s="113"/>
      <c r="M213" s="82"/>
    </row>
    <row r="214" spans="1:13" s="16" customFormat="1" ht="12.75">
      <c r="A214" s="264">
        <v>0.06</v>
      </c>
      <c r="B214" s="106">
        <f t="shared" si="25"/>
        <v>1.896507698384497</v>
      </c>
      <c r="C214" s="322">
        <f t="shared" si="26"/>
        <v>1.6707732935738429</v>
      </c>
      <c r="D214" s="106">
        <f t="shared" si="27"/>
        <v>0.2275200467898364</v>
      </c>
      <c r="E214" s="90">
        <f t="shared" si="28"/>
        <v>0.5287616565966149</v>
      </c>
      <c r="F214" s="89">
        <f t="shared" si="29"/>
        <v>0.2107041132430152</v>
      </c>
      <c r="G214" s="82">
        <f t="shared" si="30"/>
        <v>0.4690825418785199</v>
      </c>
      <c r="H214" s="226">
        <f t="shared" si="31"/>
        <v>205.72955372306077</v>
      </c>
      <c r="I214" s="138">
        <f t="shared" si="32"/>
        <v>54.841951284291916</v>
      </c>
      <c r="J214" s="113">
        <f t="shared" si="33"/>
        <v>175.00998455494488</v>
      </c>
      <c r="K214" s="140">
        <f t="shared" si="34"/>
        <v>54.37825720257707</v>
      </c>
      <c r="L214" s="113"/>
      <c r="M214" s="82"/>
    </row>
    <row r="215" spans="1:13" s="16" customFormat="1" ht="12.75">
      <c r="A215" s="264">
        <v>0.07</v>
      </c>
      <c r="B215" s="106">
        <f t="shared" si="25"/>
        <v>1.994193179028023</v>
      </c>
      <c r="C215" s="322">
        <f t="shared" si="26"/>
        <v>1.7656162524854706</v>
      </c>
      <c r="D215" s="106">
        <f t="shared" si="27"/>
        <v>0.25182555322191946</v>
      </c>
      <c r="E215" s="90">
        <f t="shared" si="28"/>
        <v>0.5628560717254074</v>
      </c>
      <c r="F215" s="89">
        <f t="shared" si="29"/>
        <v>0.2347842786760641</v>
      </c>
      <c r="G215" s="82">
        <f t="shared" si="30"/>
        <v>0.5022519712041341</v>
      </c>
      <c r="H215" s="226">
        <f t="shared" si="31"/>
        <v>213.75761610253502</v>
      </c>
      <c r="I215" s="138">
        <f t="shared" si="32"/>
        <v>54.19483890546214</v>
      </c>
      <c r="J215" s="113">
        <f t="shared" si="33"/>
        <v>182.963505327087</v>
      </c>
      <c r="K215" s="140">
        <f t="shared" si="34"/>
        <v>53.671619381956276</v>
      </c>
      <c r="L215" s="113"/>
      <c r="M215" s="82"/>
    </row>
    <row r="216" spans="1:13" s="16" customFormat="1" ht="12.75">
      <c r="A216" s="264">
        <v>0.08</v>
      </c>
      <c r="B216" s="106">
        <f t="shared" si="25"/>
        <v>2.088312117027911</v>
      </c>
      <c r="C216" s="322">
        <f t="shared" si="26"/>
        <v>1.8567431041889289</v>
      </c>
      <c r="D216" s="106">
        <f t="shared" si="27"/>
        <v>0.2759715769225336</v>
      </c>
      <c r="E216" s="90">
        <f t="shared" si="28"/>
        <v>0.5959590871570689</v>
      </c>
      <c r="F216" s="89">
        <f t="shared" si="29"/>
        <v>0.2586911344909887</v>
      </c>
      <c r="G216" s="82">
        <f t="shared" si="30"/>
        <v>0.5343760094174174</v>
      </c>
      <c r="H216" s="226">
        <f t="shared" si="31"/>
        <v>221.71201108165627</v>
      </c>
      <c r="I216" s="138">
        <f t="shared" si="32"/>
        <v>53.594759877427336</v>
      </c>
      <c r="J216" s="113">
        <f t="shared" si="33"/>
        <v>190.82010660652682</v>
      </c>
      <c r="K216" s="140">
        <f t="shared" si="34"/>
        <v>53.02094033797788</v>
      </c>
      <c r="L216" s="113"/>
      <c r="M216" s="82"/>
    </row>
    <row r="217" spans="1:13" s="16" customFormat="1" ht="12.75">
      <c r="A217" s="264">
        <v>0.09</v>
      </c>
      <c r="B217" s="106">
        <f t="shared" si="25"/>
        <v>2.1792762844451903</v>
      </c>
      <c r="C217" s="322">
        <f t="shared" si="26"/>
        <v>1.9446154931914974</v>
      </c>
      <c r="D217" s="106">
        <f t="shared" si="27"/>
        <v>0.2999678192412838</v>
      </c>
      <c r="E217" s="90">
        <f t="shared" si="28"/>
        <v>0.628167414086841</v>
      </c>
      <c r="F217" s="89">
        <f t="shared" si="29"/>
        <v>0.28243620380264567</v>
      </c>
      <c r="G217" s="82">
        <f t="shared" si="30"/>
        <v>0.5655647376643718</v>
      </c>
      <c r="H217" s="226">
        <f t="shared" si="31"/>
        <v>229.58857832521872</v>
      </c>
      <c r="I217" s="138">
        <f t="shared" si="32"/>
        <v>53.03512085740358</v>
      </c>
      <c r="J217" s="113">
        <f t="shared" si="33"/>
        <v>198.57875885985808</v>
      </c>
      <c r="K217" s="140">
        <f t="shared" si="34"/>
        <v>52.41774737113851</v>
      </c>
      <c r="L217" s="113"/>
      <c r="M217" s="82"/>
    </row>
    <row r="218" spans="1:13" s="16" customFormat="1" ht="12.75">
      <c r="A218" s="264">
        <v>0.1</v>
      </c>
      <c r="B218" s="106">
        <f t="shared" si="25"/>
        <v>2.2674235351034517</v>
      </c>
      <c r="C218" s="322">
        <f t="shared" si="26"/>
        <v>2.029606293559416</v>
      </c>
      <c r="D218" s="106">
        <f t="shared" si="27"/>
        <v>0.3238227934622411</v>
      </c>
      <c r="E218" s="90">
        <f t="shared" si="28"/>
        <v>0.6595620875773704</v>
      </c>
      <c r="F218" s="89">
        <f t="shared" si="29"/>
        <v>0.3060294837073595</v>
      </c>
      <c r="G218" s="82">
        <f t="shared" si="30"/>
        <v>0.5959090872472049</v>
      </c>
      <c r="H218" s="226">
        <f t="shared" si="31"/>
        <v>237.38553300945247</v>
      </c>
      <c r="I218" s="138">
        <f t="shared" si="32"/>
        <v>52.51065093277758</v>
      </c>
      <c r="J218" s="113">
        <f t="shared" si="33"/>
        <v>206.2403989688456</v>
      </c>
      <c r="K218" s="140">
        <f t="shared" si="34"/>
        <v>51.855391657147315</v>
      </c>
      <c r="L218" s="113"/>
      <c r="M218" s="82"/>
    </row>
    <row r="219" spans="1:13" s="16" customFormat="1" ht="12.75">
      <c r="A219" s="264">
        <v>0.11</v>
      </c>
      <c r="B219" s="106">
        <f t="shared" si="25"/>
        <v>2.353035174828143</v>
      </c>
      <c r="C219" s="322">
        <f t="shared" si="26"/>
        <v>2.1120218572710026</v>
      </c>
      <c r="D219" s="106">
        <f t="shared" si="27"/>
        <v>0.34754403968320524</v>
      </c>
      <c r="E219" s="90">
        <f t="shared" si="28"/>
        <v>0.6902118991955917</v>
      </c>
      <c r="F219" s="89">
        <f t="shared" si="29"/>
        <v>0.32947974158792703</v>
      </c>
      <c r="G219" s="82">
        <f t="shared" si="30"/>
        <v>0.6254853179089963</v>
      </c>
      <c r="H219" s="226">
        <f t="shared" si="31"/>
        <v>245.10259564760966</v>
      </c>
      <c r="I219" s="138">
        <f t="shared" si="32"/>
        <v>52.017066350154636</v>
      </c>
      <c r="J219" s="113">
        <f t="shared" si="33"/>
        <v>213.80707994145877</v>
      </c>
      <c r="K219" s="140">
        <f t="shared" si="34"/>
        <v>51.32855450697182</v>
      </c>
      <c r="L219" s="113"/>
      <c r="M219" s="82"/>
    </row>
    <row r="220" spans="1:13" s="16" customFormat="1" ht="12.75">
      <c r="A220" s="264">
        <v>0.12</v>
      </c>
      <c r="B220" s="106">
        <f t="shared" si="25"/>
        <v>2.4363484071667587</v>
      </c>
      <c r="C220" s="322">
        <f t="shared" si="26"/>
        <v>2.1921175619239635</v>
      </c>
      <c r="D220" s="106">
        <f t="shared" si="27"/>
        <v>0.3711382895783132</v>
      </c>
      <c r="E220" s="90">
        <f t="shared" si="28"/>
        <v>0.7201759066721053</v>
      </c>
      <c r="F220" s="89">
        <f t="shared" si="29"/>
        <v>0.3527947376341166</v>
      </c>
      <c r="G220" s="82">
        <f t="shared" si="30"/>
        <v>0.6543582155860789</v>
      </c>
      <c r="H220" s="226">
        <f t="shared" si="31"/>
        <v>252.74044459795968</v>
      </c>
      <c r="I220" s="138">
        <f t="shared" si="32"/>
        <v>51.55083585681826</v>
      </c>
      <c r="J220" s="113">
        <f t="shared" si="33"/>
        <v>221.2814685279608</v>
      </c>
      <c r="K220" s="140">
        <f t="shared" si="34"/>
        <v>50.832911150468476</v>
      </c>
      <c r="L220" s="113"/>
      <c r="M220" s="82"/>
    </row>
    <row r="221" spans="1:13" s="16" customFormat="1" ht="12.75">
      <c r="A221" s="264">
        <v>0.13</v>
      </c>
      <c r="B221" s="106">
        <f t="shared" si="25"/>
        <v>2.517565461339521</v>
      </c>
      <c r="C221" s="322">
        <f t="shared" si="26"/>
        <v>2.27010897212807</v>
      </c>
      <c r="D221" s="106">
        <f t="shared" si="27"/>
        <v>0.3946115950657071</v>
      </c>
      <c r="E221" s="90">
        <f t="shared" si="28"/>
        <v>0.749505309391217</v>
      </c>
      <c r="F221" s="89">
        <f t="shared" si="29"/>
        <v>0.37598139552067855</v>
      </c>
      <c r="G221" s="82">
        <f t="shared" si="30"/>
        <v>0.6825834341588489</v>
      </c>
      <c r="H221" s="226">
        <f t="shared" si="31"/>
        <v>260.30036405527306</v>
      </c>
      <c r="I221" s="138">
        <f t="shared" si="32"/>
        <v>51.10901231669647</v>
      </c>
      <c r="J221" s="113">
        <f t="shared" si="33"/>
        <v>228.66654270170096</v>
      </c>
      <c r="K221" s="140">
        <f t="shared" si="34"/>
        <v>50.36489510305597</v>
      </c>
      <c r="L221" s="113"/>
      <c r="M221" s="82"/>
    </row>
    <row r="222" spans="1:13" s="16" customFormat="1" ht="12.75">
      <c r="A222" s="264">
        <v>0.14</v>
      </c>
      <c r="B222" s="106">
        <f t="shared" si="25"/>
        <v>2.596860423884312</v>
      </c>
      <c r="C222" s="322">
        <f t="shared" si="26"/>
        <v>2.3461800393166636</v>
      </c>
      <c r="D222" s="106">
        <f t="shared" si="27"/>
        <v>0.4179694303977405</v>
      </c>
      <c r="E222" s="90">
        <f t="shared" si="28"/>
        <v>0.7782448768596096</v>
      </c>
      <c r="F222" s="89">
        <f t="shared" si="29"/>
        <v>0.39904593572146674</v>
      </c>
      <c r="G222" s="82">
        <f t="shared" si="30"/>
        <v>0.7102092479269732</v>
      </c>
      <c r="H222" s="226">
        <f t="shared" si="31"/>
        <v>267.78401384621344</v>
      </c>
      <c r="I222" s="138">
        <f t="shared" si="32"/>
        <v>50.68910924148213</v>
      </c>
      <c r="J222" s="113">
        <f t="shared" si="33"/>
        <v>235.96540747027</v>
      </c>
      <c r="K222" s="140">
        <f t="shared" si="34"/>
        <v>49.92152889379447</v>
      </c>
      <c r="L222" s="113"/>
      <c r="M222" s="82"/>
    </row>
    <row r="223" spans="1:13" s="16" customFormat="1" ht="12.75">
      <c r="A223" s="264">
        <v>0.15</v>
      </c>
      <c r="B223" s="106">
        <f t="shared" si="25"/>
        <v>2.6743844432546022</v>
      </c>
      <c r="C223" s="322">
        <f t="shared" si="26"/>
        <v>2.4204892478855364</v>
      </c>
      <c r="D223" s="106">
        <f t="shared" si="27"/>
        <v>0.4412167743008166</v>
      </c>
      <c r="E223" s="90">
        <f t="shared" si="28"/>
        <v>0.8064340549763482</v>
      </c>
      <c r="F223" s="89">
        <f t="shared" si="29"/>
        <v>0.4219939812971112</v>
      </c>
      <c r="G223" s="82">
        <f t="shared" si="30"/>
        <v>0.7372778880197189</v>
      </c>
      <c r="H223" s="226">
        <f t="shared" si="31"/>
        <v>275.19327694738894</v>
      </c>
      <c r="I223" s="138">
        <f t="shared" si="32"/>
        <v>50.28900852431741</v>
      </c>
      <c r="J223" s="113">
        <f t="shared" si="33"/>
        <v>243.18118246710708</v>
      </c>
      <c r="K223" s="140">
        <f t="shared" si="34"/>
        <v>49.500299828596965</v>
      </c>
      <c r="L223" s="113"/>
      <c r="M223" s="82"/>
    </row>
    <row r="224" spans="1:13" s="16" customFormat="1" ht="12.75">
      <c r="A224" s="264">
        <v>0.16</v>
      </c>
      <c r="B224" s="106">
        <f t="shared" si="25"/>
        <v>2.7502697575640918</v>
      </c>
      <c r="C224" s="322">
        <f t="shared" si="26"/>
        <v>2.493174303759775</v>
      </c>
      <c r="D224" s="106">
        <f t="shared" si="27"/>
        <v>0.4643581768835091</v>
      </c>
      <c r="E224" s="90">
        <f t="shared" si="28"/>
        <v>0.8341078354822249</v>
      </c>
      <c r="F224" s="89">
        <f t="shared" si="29"/>
        <v>0.444830643011744</v>
      </c>
      <c r="G224" s="82">
        <f t="shared" si="30"/>
        <v>0.763826578484862</v>
      </c>
      <c r="H224" s="226">
        <f t="shared" si="31"/>
        <v>282.53015760766556</v>
      </c>
      <c r="I224" s="138">
        <f t="shared" si="32"/>
        <v>49.906890326547284</v>
      </c>
      <c r="J224" s="113">
        <f t="shared" si="33"/>
        <v>250.31693392962163</v>
      </c>
      <c r="K224" s="140">
        <f t="shared" si="34"/>
        <v>49.09906707567254</v>
      </c>
      <c r="L224" s="113"/>
      <c r="M224" s="82"/>
    </row>
    <row r="225" spans="1:13" s="16" customFormat="1" ht="12.75">
      <c r="A225" s="264">
        <v>0.17</v>
      </c>
      <c r="B225" s="106">
        <f t="shared" si="25"/>
        <v>2.824632855418831</v>
      </c>
      <c r="C225" s="322">
        <f t="shared" si="26"/>
        <v>2.564355767111951</v>
      </c>
      <c r="D225" s="106">
        <f t="shared" si="27"/>
        <v>0.4873978147394564</v>
      </c>
      <c r="E225" s="90">
        <f t="shared" si="28"/>
        <v>0.8612974482976936</v>
      </c>
      <c r="F225" s="89">
        <f t="shared" si="29"/>
        <v>0.4675605886631966</v>
      </c>
      <c r="G225" s="82">
        <f t="shared" si="30"/>
        <v>0.789888351354395</v>
      </c>
      <c r="H225" s="226">
        <f t="shared" si="31"/>
        <v>289.7967129836272</v>
      </c>
      <c r="I225" s="138">
        <f t="shared" si="32"/>
        <v>49.54117899860109</v>
      </c>
      <c r="J225" s="113">
        <f t="shared" si="33"/>
        <v>257.37563452494993</v>
      </c>
      <c r="K225" s="140">
        <f t="shared" si="34"/>
        <v>48.71599101123546</v>
      </c>
      <c r="L225" s="113"/>
      <c r="M225" s="82"/>
    </row>
    <row r="226" spans="1:13" s="16" customFormat="1" ht="12.75">
      <c r="A226" s="264">
        <v>0.18</v>
      </c>
      <c r="B226" s="106">
        <f t="shared" si="25"/>
        <v>2.8975769876597965</v>
      </c>
      <c r="C226" s="322">
        <f t="shared" si="26"/>
        <v>2.634139906258905</v>
      </c>
      <c r="D226" s="106">
        <f t="shared" si="27"/>
        <v>0.5103395367771306</v>
      </c>
      <c r="E226" s="90">
        <f t="shared" si="28"/>
        <v>0.8880309193387342</v>
      </c>
      <c r="F226" s="89">
        <f t="shared" si="29"/>
        <v>0.4901881001754522</v>
      </c>
      <c r="G226" s="82">
        <f t="shared" si="30"/>
        <v>0.8154926962252668</v>
      </c>
      <c r="H226" s="226">
        <f t="shared" si="31"/>
        <v>296.995007287311</v>
      </c>
      <c r="I226" s="138">
        <f t="shared" si="32"/>
        <v>49.190500807414494</v>
      </c>
      <c r="J226" s="113">
        <f t="shared" si="33"/>
        <v>264.36014082011326</v>
      </c>
      <c r="K226" s="140">
        <f t="shared" si="34"/>
        <v>48.34947869089693</v>
      </c>
      <c r="L226" s="113"/>
      <c r="M226" s="82"/>
    </row>
    <row r="227" spans="1:13" s="16" customFormat="1" ht="12.75">
      <c r="A227" s="264">
        <v>0.19</v>
      </c>
      <c r="B227" s="106">
        <f t="shared" si="25"/>
        <v>2.969194185945212</v>
      </c>
      <c r="C227" s="322">
        <f t="shared" si="26"/>
        <v>2.7026209677175634</v>
      </c>
      <c r="D227" s="106">
        <f t="shared" si="27"/>
        <v>0.533186902677103</v>
      </c>
      <c r="E227" s="90">
        <f t="shared" si="28"/>
        <v>0.9143335247291581</v>
      </c>
      <c r="F227" s="89">
        <f t="shared" si="29"/>
        <v>0.5127171210768801</v>
      </c>
      <c r="G227" s="82">
        <f t="shared" si="30"/>
        <v>0.8406660840209191</v>
      </c>
      <c r="H227" s="226">
        <f t="shared" si="31"/>
        <v>304.12708123395004</v>
      </c>
      <c r="I227" s="138">
        <f t="shared" si="32"/>
        <v>48.85365049268679</v>
      </c>
      <c r="J227" s="113">
        <f t="shared" si="33"/>
        <v>271.27318198716864</v>
      </c>
      <c r="K227" s="140">
        <f t="shared" si="34"/>
        <v>47.998141203985355</v>
      </c>
      <c r="L227" s="113"/>
      <c r="M227" s="82"/>
    </row>
    <row r="228" spans="1:13" s="16" customFormat="1" ht="12.75">
      <c r="A228" s="264">
        <v>0.2</v>
      </c>
      <c r="B228" s="106">
        <f t="shared" si="25"/>
        <v>3.0395669016600984</v>
      </c>
      <c r="C228" s="322">
        <f t="shared" si="26"/>
        <v>2.7698830021845025</v>
      </c>
      <c r="D228" s="106">
        <f t="shared" si="27"/>
        <v>0.5559432154237014</v>
      </c>
      <c r="E228" s="90">
        <f t="shared" si="28"/>
        <v>0.940228164214117</v>
      </c>
      <c r="F228" s="89">
        <f t="shared" si="29"/>
        <v>0.5351512963342091</v>
      </c>
      <c r="G228" s="82">
        <f t="shared" si="30"/>
        <v>0.8654323937633049</v>
      </c>
      <c r="H228" s="226">
        <f t="shared" si="31"/>
        <v>311.1949319845133</v>
      </c>
      <c r="I228" s="138">
        <f t="shared" si="32"/>
        <v>48.529564517933444</v>
      </c>
      <c r="J228" s="113">
        <f t="shared" si="33"/>
        <v>278.1173556566835</v>
      </c>
      <c r="K228" s="140">
        <f t="shared" si="34"/>
        <v>47.660759919707886</v>
      </c>
      <c r="L228" s="113"/>
      <c r="M228" s="82"/>
    </row>
    <row r="229" spans="1:13" s="16" customFormat="1" ht="12.75">
      <c r="A229" s="264">
        <v>0.22</v>
      </c>
      <c r="B229" s="106">
        <f t="shared" si="25"/>
        <v>3.1768686150129066</v>
      </c>
      <c r="C229" s="322">
        <f t="shared" si="26"/>
        <v>2.90104384942877</v>
      </c>
      <c r="D229" s="106">
        <f t="shared" si="27"/>
        <v>0.6011947723028124</v>
      </c>
      <c r="E229" s="90">
        <f t="shared" si="28"/>
        <v>0.9908750698237309</v>
      </c>
      <c r="F229" s="89">
        <f t="shared" si="29"/>
        <v>0.5797483941262602</v>
      </c>
      <c r="G229" s="82">
        <f t="shared" si="30"/>
        <v>0.9138283823222301</v>
      </c>
      <c r="H229" s="226">
        <f t="shared" si="31"/>
        <v>325.14566294124234</v>
      </c>
      <c r="I229" s="138">
        <f t="shared" si="32"/>
        <v>47.91601440897283</v>
      </c>
      <c r="J229" s="113">
        <f t="shared" si="33"/>
        <v>291.6088383033948</v>
      </c>
      <c r="K229" s="140">
        <f t="shared" si="34"/>
        <v>47.02368597480388</v>
      </c>
      <c r="L229" s="113"/>
      <c r="M229" s="82"/>
    </row>
    <row r="230" spans="1:13" s="16" customFormat="1" ht="12.75">
      <c r="A230" s="264">
        <v>0.24</v>
      </c>
      <c r="B230" s="106">
        <f t="shared" si="25"/>
        <v>3.309995714510764</v>
      </c>
      <c r="C230" s="322">
        <f t="shared" si="26"/>
        <v>3.028141085353015</v>
      </c>
      <c r="D230" s="106">
        <f t="shared" si="27"/>
        <v>0.6461164576379401</v>
      </c>
      <c r="E230" s="90">
        <f t="shared" si="28"/>
        <v>1.0401178814809307</v>
      </c>
      <c r="F230" s="89">
        <f t="shared" si="29"/>
        <v>0.62400374460553</v>
      </c>
      <c r="G230" s="82">
        <f t="shared" si="30"/>
        <v>0.9608317966184377</v>
      </c>
      <c r="H230" s="226">
        <f t="shared" si="31"/>
        <v>338.8619334765852</v>
      </c>
      <c r="I230" s="138">
        <f t="shared" si="32"/>
        <v>47.343448761136415</v>
      </c>
      <c r="J230" s="113">
        <f t="shared" si="33"/>
        <v>304.85281411989695</v>
      </c>
      <c r="K230" s="140">
        <f t="shared" si="34"/>
        <v>46.43100776903729</v>
      </c>
      <c r="L230" s="113"/>
      <c r="M230" s="82"/>
    </row>
    <row r="231" spans="1:13" s="16" customFormat="1" ht="12.75">
      <c r="A231" s="264">
        <v>0.26</v>
      </c>
      <c r="B231" s="106">
        <f t="shared" si="25"/>
        <v>3.4393739880943466</v>
      </c>
      <c r="C231" s="322">
        <f t="shared" si="26"/>
        <v>3.1516018638871373</v>
      </c>
      <c r="D231" s="106">
        <f t="shared" si="27"/>
        <v>0.6907278338979512</v>
      </c>
      <c r="E231" s="90">
        <f t="shared" si="28"/>
        <v>1.0880801460135867</v>
      </c>
      <c r="F231" s="89">
        <f t="shared" si="29"/>
        <v>0.6679386313233209</v>
      </c>
      <c r="G231" s="82">
        <f t="shared" si="30"/>
        <v>1.0065695106450119</v>
      </c>
      <c r="H231" s="226">
        <f t="shared" si="31"/>
        <v>352.35736566605834</v>
      </c>
      <c r="I231" s="138">
        <f t="shared" si="32"/>
        <v>46.806698381089376</v>
      </c>
      <c r="J231" s="113">
        <f t="shared" si="33"/>
        <v>317.865633518693</v>
      </c>
      <c r="K231" s="140">
        <f t="shared" si="34"/>
        <v>45.876920807495466</v>
      </c>
      <c r="L231" s="113"/>
      <c r="M231" s="82"/>
    </row>
    <row r="232" spans="1:13" s="16" customFormat="1" ht="12.75">
      <c r="A232" s="264">
        <v>0.28</v>
      </c>
      <c r="B232" s="106">
        <f t="shared" si="25"/>
        <v>3.565361135497252</v>
      </c>
      <c r="C232" s="322">
        <f t="shared" si="26"/>
        <v>3.2717830119299727</v>
      </c>
      <c r="D232" s="106">
        <f t="shared" si="27"/>
        <v>0.735046247989551</v>
      </c>
      <c r="E232" s="90">
        <f t="shared" si="28"/>
        <v>1.1348674681165845</v>
      </c>
      <c r="F232" s="89">
        <f t="shared" si="29"/>
        <v>0.7115718293010063</v>
      </c>
      <c r="G232" s="82">
        <f t="shared" si="30"/>
        <v>1.0511493820975566</v>
      </c>
      <c r="H232" s="226">
        <f t="shared" si="31"/>
        <v>365.64447490549435</v>
      </c>
      <c r="I232" s="138">
        <f t="shared" si="32"/>
        <v>46.301526599975894</v>
      </c>
      <c r="J232" s="113">
        <f t="shared" si="33"/>
        <v>330.6619688113681</v>
      </c>
      <c r="K232" s="140">
        <f t="shared" si="34"/>
        <v>45.35670223649832</v>
      </c>
      <c r="L232" s="113"/>
      <c r="M232" s="82"/>
    </row>
    <row r="233" spans="1:13" s="16" customFormat="1" ht="12.75">
      <c r="A233" s="264">
        <v>0.3</v>
      </c>
      <c r="B233" s="106">
        <f t="shared" si="25"/>
        <v>3.6882611255258464</v>
      </c>
      <c r="C233" s="322">
        <f t="shared" si="26"/>
        <v>3.3889862761491814</v>
      </c>
      <c r="D233" s="106">
        <f t="shared" si="27"/>
        <v>0.7790871969784494</v>
      </c>
      <c r="E233" s="90">
        <f t="shared" si="28"/>
        <v>1.18057104104351</v>
      </c>
      <c r="F233" s="89">
        <f t="shared" si="29"/>
        <v>0.7549200337343864</v>
      </c>
      <c r="G233" s="82">
        <f t="shared" si="30"/>
        <v>1.0946641054944424</v>
      </c>
      <c r="H233" s="226">
        <f t="shared" si="31"/>
        <v>378.73472866068016</v>
      </c>
      <c r="I233" s="138">
        <f t="shared" si="32"/>
        <v>45.82441581699798</v>
      </c>
      <c r="J233" s="113">
        <f t="shared" si="33"/>
        <v>343.25501063510313</v>
      </c>
      <c r="K233" s="140">
        <f t="shared" si="34"/>
        <v>44.86645573561943</v>
      </c>
      <c r="L233" s="113"/>
      <c r="M233" s="82"/>
    </row>
    <row r="234" spans="1:13" s="16" customFormat="1" ht="12.75">
      <c r="A234" s="264">
        <v>0.32</v>
      </c>
      <c r="B234" s="106">
        <f t="shared" si="25"/>
        <v>3.80833487742882</v>
      </c>
      <c r="C234" s="322">
        <f t="shared" si="26"/>
        <v>3.503469561810742</v>
      </c>
      <c r="D234" s="106">
        <f t="shared" si="27"/>
        <v>0.8228646161060105</v>
      </c>
      <c r="E234" s="90">
        <f t="shared" si="28"/>
        <v>1.2252703199114905</v>
      </c>
      <c r="F234" s="89">
        <f t="shared" si="29"/>
        <v>0.7979981947115862</v>
      </c>
      <c r="G234" s="82">
        <f t="shared" si="30"/>
        <v>1.1371941036240398</v>
      </c>
      <c r="H234" s="226">
        <f t="shared" si="31"/>
        <v>391.63862737955037</v>
      </c>
      <c r="I234" s="138">
        <f t="shared" si="32"/>
        <v>45.37241214847494</v>
      </c>
      <c r="J234" s="113">
        <f t="shared" si="33"/>
        <v>355.65664899376816</v>
      </c>
      <c r="K234" s="140">
        <f t="shared" si="34"/>
        <v>44.402927819444436</v>
      </c>
      <c r="L234" s="113"/>
      <c r="M234" s="82"/>
    </row>
    <row r="235" spans="1:13" s="16" customFormat="1" ht="12.75">
      <c r="A235" s="264">
        <v>0.34</v>
      </c>
      <c r="B235" s="106">
        <f t="shared" si="25"/>
        <v>3.925808355691502</v>
      </c>
      <c r="C235" s="322">
        <f t="shared" si="26"/>
        <v>3.615455381524101</v>
      </c>
      <c r="D235" s="106">
        <f t="shared" si="27"/>
        <v>0.8663911089419263</v>
      </c>
      <c r="E235" s="90">
        <f t="shared" si="28"/>
        <v>1.2690350811670121</v>
      </c>
      <c r="F235" s="89">
        <f t="shared" si="29"/>
        <v>0.8408197826453456</v>
      </c>
      <c r="G235" s="82">
        <f t="shared" si="30"/>
        <v>1.1788097376381388</v>
      </c>
      <c r="H235" s="226">
        <f t="shared" si="31"/>
        <v>404.36579145128</v>
      </c>
      <c r="I235" s="138">
        <f t="shared" si="32"/>
        <v>44.9430101097063</v>
      </c>
      <c r="J235" s="113">
        <f t="shared" si="33"/>
        <v>367.8776341200839</v>
      </c>
      <c r="K235" s="140">
        <f t="shared" si="34"/>
        <v>43.96337274774224</v>
      </c>
      <c r="L235" s="113"/>
      <c r="M235" s="82"/>
    </row>
    <row r="236" spans="1:13" s="16" customFormat="1" ht="12.75">
      <c r="A236" s="264">
        <v>0.36</v>
      </c>
      <c r="B236" s="106">
        <f t="shared" si="25"/>
        <v>4.040878805339407</v>
      </c>
      <c r="C236" s="322">
        <f t="shared" si="26"/>
        <v>3.7251373170113196</v>
      </c>
      <c r="D236" s="106">
        <f t="shared" si="27"/>
        <v>0.9096781336793069</v>
      </c>
      <c r="E236" s="90">
        <f t="shared" si="28"/>
        <v>1.3119270335554172</v>
      </c>
      <c r="F236" s="89">
        <f t="shared" si="29"/>
        <v>0.8833970016590555</v>
      </c>
      <c r="G236" s="82">
        <f t="shared" si="30"/>
        <v>1.2195730238690234</v>
      </c>
      <c r="H236" s="226">
        <f t="shared" si="31"/>
        <v>416.9250462736913</v>
      </c>
      <c r="I236" s="138">
        <f t="shared" si="32"/>
        <v>44.5340655099092</v>
      </c>
      <c r="J236" s="113">
        <f t="shared" si="33"/>
        <v>379.9277168435837</v>
      </c>
      <c r="K236" s="140">
        <f t="shared" si="34"/>
        <v>43.54545132975042</v>
      </c>
      <c r="L236" s="113"/>
      <c r="M236" s="82"/>
    </row>
    <row r="237" spans="1:13" s="16" customFormat="1" ht="12.75">
      <c r="A237" s="264">
        <v>0.38</v>
      </c>
      <c r="B237" s="106">
        <f t="shared" si="25"/>
        <v>4.15371962488754</v>
      </c>
      <c r="C237" s="322">
        <f t="shared" si="26"/>
        <v>3.8326850372031007</v>
      </c>
      <c r="D237" s="106">
        <f t="shared" si="27"/>
        <v>0.9527361556644427</v>
      </c>
      <c r="E237" s="90">
        <f t="shared" si="28"/>
        <v>1.3540010954605124</v>
      </c>
      <c r="F237" s="89">
        <f t="shared" si="29"/>
        <v>0.925740963222855</v>
      </c>
      <c r="G237" s="82">
        <f t="shared" si="30"/>
        <v>1.259538986680821</v>
      </c>
      <c r="H237" s="226">
        <f t="shared" si="31"/>
        <v>429.32450175228456</v>
      </c>
      <c r="I237" s="138">
        <f t="shared" si="32"/>
        <v>44.143728632242954</v>
      </c>
      <c r="J237" s="113">
        <f t="shared" si="33"/>
        <v>391.81576999913415</v>
      </c>
      <c r="K237" s="140">
        <f t="shared" si="34"/>
        <v>43.147153868875506</v>
      </c>
      <c r="L237" s="113"/>
      <c r="M237" s="82"/>
    </row>
    <row r="238" spans="1:13" s="16" customFormat="1" ht="12.75">
      <c r="A238" s="264">
        <v>0.4</v>
      </c>
      <c r="B238" s="106">
        <f t="shared" si="25"/>
        <v>4.264484224183648</v>
      </c>
      <c r="C238" s="322">
        <f t="shared" si="26"/>
        <v>3.9382482485925654</v>
      </c>
      <c r="D238" s="106">
        <f t="shared" si="27"/>
        <v>0.9955747735664311</v>
      </c>
      <c r="E238" s="90">
        <f t="shared" si="28"/>
        <v>1.3953064200599505</v>
      </c>
      <c r="F238" s="89">
        <f t="shared" si="29"/>
        <v>0.9678618289806591</v>
      </c>
      <c r="G238" s="82">
        <f t="shared" si="30"/>
        <v>1.2987567382000869</v>
      </c>
      <c r="H238" s="226">
        <f t="shared" si="31"/>
        <v>441.5716247818745</v>
      </c>
      <c r="I238" s="138">
        <f t="shared" si="32"/>
        <v>43.77039226095536</v>
      </c>
      <c r="J238" s="113">
        <f t="shared" si="33"/>
        <v>403.54989304371134</v>
      </c>
      <c r="K238" s="140">
        <f t="shared" si="34"/>
        <v>42.76674062745948</v>
      </c>
      <c r="L238" s="113"/>
      <c r="M238" s="82"/>
    </row>
    <row r="239" spans="1:13" s="16" customFormat="1" ht="12.75">
      <c r="A239" s="264">
        <v>0.42</v>
      </c>
      <c r="B239" s="106">
        <f t="shared" si="25"/>
        <v>4.3733091143630896</v>
      </c>
      <c r="C239" s="322">
        <f t="shared" si="26"/>
        <v>4.041959843239198</v>
      </c>
      <c r="D239" s="106">
        <f t="shared" si="27"/>
        <v>1.038202824709021</v>
      </c>
      <c r="E239" s="90">
        <f t="shared" si="28"/>
        <v>1.4358872271069785</v>
      </c>
      <c r="F239" s="89">
        <f t="shared" si="29"/>
        <v>1.0097689293813148</v>
      </c>
      <c r="G239" s="82">
        <f t="shared" si="30"/>
        <v>1.33727034998377</v>
      </c>
      <c r="H239" s="226">
        <f t="shared" si="31"/>
        <v>453.6733044123642</v>
      </c>
      <c r="I239" s="138">
        <f t="shared" si="32"/>
        <v>43.41265075042259</v>
      </c>
      <c r="J239" s="113">
        <f t="shared" si="33"/>
        <v>415.1375021298477</v>
      </c>
      <c r="K239" s="140">
        <f t="shared" si="34"/>
        <v>42.402695222415055</v>
      </c>
      <c r="L239" s="113"/>
      <c r="M239" s="82"/>
    </row>
    <row r="240" spans="1:13" s="16" customFormat="1" ht="12.75">
      <c r="A240" s="264">
        <v>0.44</v>
      </c>
      <c r="B240" s="106">
        <f t="shared" si="25"/>
        <v>4.480316408955353</v>
      </c>
      <c r="C240" s="322">
        <f t="shared" si="26"/>
        <v>4.143938435176681</v>
      </c>
      <c r="D240" s="106">
        <f t="shared" si="27"/>
        <v>1.080628473743369</v>
      </c>
      <c r="E240" s="90">
        <f t="shared" si="28"/>
        <v>1.4757834845052975</v>
      </c>
      <c r="F240" s="89">
        <f t="shared" si="29"/>
        <v>1.0514708630810294</v>
      </c>
      <c r="G240" s="82">
        <f t="shared" si="30"/>
        <v>1.3751195640232245</v>
      </c>
      <c r="H240" s="226">
        <f t="shared" si="31"/>
        <v>465.63590997356454</v>
      </c>
      <c r="I240" s="138">
        <f t="shared" si="32"/>
        <v>43.06926742519544</v>
      </c>
      <c r="J240" s="113">
        <f t="shared" si="33"/>
        <v>426.58540772903797</v>
      </c>
      <c r="K240" s="140">
        <f t="shared" si="34"/>
        <v>42.05368770997597</v>
      </c>
      <c r="L240" s="113"/>
      <c r="M240" s="82"/>
    </row>
    <row r="241" spans="1:13" s="16" customFormat="1" ht="12.75">
      <c r="A241" s="264">
        <v>0.46</v>
      </c>
      <c r="B241" s="106">
        <f t="shared" si="25"/>
        <v>4.585615867826229</v>
      </c>
      <c r="C241" s="322">
        <f t="shared" si="26"/>
        <v>4.244290424568204</v>
      </c>
      <c r="D241" s="106">
        <f t="shared" si="27"/>
        <v>1.1228592878655714</v>
      </c>
      <c r="E241" s="90">
        <f t="shared" si="28"/>
        <v>1.5150314718330253</v>
      </c>
      <c r="F241" s="89">
        <f t="shared" si="29"/>
        <v>1.0929755808997728</v>
      </c>
      <c r="G241" s="82">
        <f t="shared" si="30"/>
        <v>1.4123403781557413</v>
      </c>
      <c r="H241" s="226">
        <f t="shared" si="31"/>
        <v>477.465342696823</v>
      </c>
      <c r="I241" s="138">
        <f t="shared" si="32"/>
        <v>42.73914834826219</v>
      </c>
      <c r="J241" s="113">
        <f t="shared" si="33"/>
        <v>437.89988165817596</v>
      </c>
      <c r="K241" s="140">
        <f t="shared" si="34"/>
        <v>41.71854503040437</v>
      </c>
      <c r="L241" s="113"/>
      <c r="M241" s="82"/>
    </row>
    <row r="242" spans="1:13" s="16" customFormat="1" ht="12.75">
      <c r="A242" s="264">
        <v>0.48</v>
      </c>
      <c r="B242" s="106">
        <f t="shared" si="25"/>
        <v>4.689306582177336</v>
      </c>
      <c r="C242" s="322">
        <f t="shared" si="26"/>
        <v>4.343111692901462</v>
      </c>
      <c r="D242" s="106">
        <f t="shared" si="27"/>
        <v>1.1649023010649868</v>
      </c>
      <c r="E242" s="90">
        <f t="shared" si="28"/>
        <v>1.55366425009303</v>
      </c>
      <c r="F242" s="89">
        <f t="shared" si="29"/>
        <v>1.1342904572486565</v>
      </c>
      <c r="G242" s="82">
        <f t="shared" si="30"/>
        <v>1.4489655322002912</v>
      </c>
      <c r="H242" s="226">
        <f t="shared" si="31"/>
        <v>489.16708146805263</v>
      </c>
      <c r="I242" s="138">
        <f t="shared" si="32"/>
        <v>42.4213210153477</v>
      </c>
      <c r="J242" s="113">
        <f t="shared" si="33"/>
        <v>449.0867151066369</v>
      </c>
      <c r="K242" s="140">
        <f t="shared" si="34"/>
        <v>41.396227113251214</v>
      </c>
      <c r="L242" s="113"/>
      <c r="M242" s="82"/>
    </row>
    <row r="243" spans="1:13" s="16" customFormat="1" ht="12.75">
      <c r="A243" s="264">
        <v>0.5</v>
      </c>
      <c r="B243" s="106">
        <f t="shared" si="25"/>
        <v>4.791478374808976</v>
      </c>
      <c r="C243" s="322">
        <f t="shared" si="26"/>
        <v>4.440489006819899</v>
      </c>
      <c r="D243" s="106">
        <f t="shared" si="27"/>
        <v>1.2067640693534938</v>
      </c>
      <c r="E243" s="90">
        <f t="shared" si="28"/>
        <v>1.5917120562442821</v>
      </c>
      <c r="F243" s="89">
        <f t="shared" si="29"/>
        <v>1.1754223513035458</v>
      </c>
      <c r="G243" s="82">
        <f t="shared" si="30"/>
        <v>1.4850249148184884</v>
      </c>
      <c r="H243" s="226">
        <f t="shared" si="31"/>
        <v>500.74622335676764</v>
      </c>
      <c r="I243" s="138">
        <f t="shared" si="32"/>
        <v>42.11491690129484</v>
      </c>
      <c r="J243" s="113">
        <f t="shared" si="33"/>
        <v>460.15126902187717</v>
      </c>
      <c r="K243" s="140">
        <f t="shared" si="34"/>
        <v>41.085807385769876</v>
      </c>
      <c r="L243" s="113"/>
      <c r="M243" s="82"/>
    </row>
    <row r="244" spans="1:13" s="16" customFormat="1" ht="12.75">
      <c r="A244" s="264">
        <v>0.55</v>
      </c>
      <c r="B244" s="106">
        <f t="shared" si="25"/>
        <v>5.040781621298999</v>
      </c>
      <c r="C244" s="322">
        <f t="shared" si="26"/>
        <v>4.678115351033632</v>
      </c>
      <c r="D244" s="106">
        <f t="shared" si="27"/>
        <v>1.3106647965274034</v>
      </c>
      <c r="E244" s="90">
        <f t="shared" si="28"/>
        <v>1.6844490361950193</v>
      </c>
      <c r="F244" s="89">
        <f t="shared" si="29"/>
        <v>1.2774925010190958</v>
      </c>
      <c r="G244" s="82">
        <f t="shared" si="30"/>
        <v>1.5728724112844505</v>
      </c>
      <c r="H244" s="226">
        <f t="shared" si="31"/>
        <v>529.1881304723827</v>
      </c>
      <c r="I244" s="138">
        <f t="shared" si="32"/>
        <v>41.393959712842324</v>
      </c>
      <c r="J244" s="113">
        <f t="shared" si="33"/>
        <v>487.30947859255804</v>
      </c>
      <c r="K244" s="140">
        <f t="shared" si="34"/>
        <v>40.35657604156341</v>
      </c>
      <c r="L244" s="113"/>
      <c r="M244" s="82"/>
    </row>
    <row r="245" spans="1:13" s="16" customFormat="1" ht="12.75">
      <c r="A245" s="264">
        <v>0.6</v>
      </c>
      <c r="B245" s="106">
        <f t="shared" si="25"/>
        <v>5.28218192149387</v>
      </c>
      <c r="C245" s="322">
        <f t="shared" si="26"/>
        <v>4.9082481560591855</v>
      </c>
      <c r="D245" s="106">
        <f t="shared" si="27"/>
        <v>1.4135557665215464</v>
      </c>
      <c r="E245" s="90">
        <f t="shared" si="28"/>
        <v>1.7740752850129593</v>
      </c>
      <c r="F245" s="89">
        <f t="shared" si="29"/>
        <v>1.3785471822201387</v>
      </c>
      <c r="G245" s="82">
        <f t="shared" si="30"/>
        <v>1.6577209497566443</v>
      </c>
      <c r="H245" s="226">
        <f t="shared" si="31"/>
        <v>556.9588522421054</v>
      </c>
      <c r="I245" s="138">
        <f t="shared" si="32"/>
        <v>40.729496486175364</v>
      </c>
      <c r="J245" s="113">
        <f t="shared" si="33"/>
        <v>513.8024549559196</v>
      </c>
      <c r="K245" s="140">
        <f t="shared" si="34"/>
        <v>39.68588856012987</v>
      </c>
      <c r="L245" s="113"/>
      <c r="M245" s="82"/>
    </row>
    <row r="246" spans="1:13" s="16" customFormat="1" ht="12.75">
      <c r="A246" s="264">
        <v>0.65</v>
      </c>
      <c r="B246" s="106">
        <f t="shared" si="25"/>
        <v>5.516570501828558</v>
      </c>
      <c r="C246" s="322">
        <f t="shared" si="26"/>
        <v>5.1317424772573</v>
      </c>
      <c r="D246" s="106">
        <f t="shared" si="27"/>
        <v>1.515510702931504</v>
      </c>
      <c r="E246" s="90">
        <f t="shared" si="28"/>
        <v>1.8609030278373908</v>
      </c>
      <c r="F246" s="89">
        <f t="shared" si="29"/>
        <v>1.4786628429833215</v>
      </c>
      <c r="G246" s="82">
        <f t="shared" si="30"/>
        <v>1.7398768218991671</v>
      </c>
      <c r="H246" s="226">
        <f t="shared" si="31"/>
        <v>584.114784866616</v>
      </c>
      <c r="I246" s="138">
        <f t="shared" si="32"/>
        <v>40.11348496115788</v>
      </c>
      <c r="J246" s="113">
        <f t="shared" si="33"/>
        <v>539.6883632067415</v>
      </c>
      <c r="K246" s="140">
        <f t="shared" si="34"/>
        <v>39.065253185886704</v>
      </c>
      <c r="L246" s="113"/>
      <c r="M246" s="82"/>
    </row>
    <row r="247" spans="1:13" s="16" customFormat="1" ht="12.75">
      <c r="A247" s="264">
        <v>0.7</v>
      </c>
      <c r="B247" s="106">
        <f t="shared" si="25"/>
        <v>5.744682061400954</v>
      </c>
      <c r="C247" s="322">
        <f t="shared" si="26"/>
        <v>5.34930140355386</v>
      </c>
      <c r="D247" s="106">
        <f t="shared" si="27"/>
        <v>1.616593654300488</v>
      </c>
      <c r="E247" s="90">
        <f t="shared" si="28"/>
        <v>1.9451939847582542</v>
      </c>
      <c r="F247" s="89">
        <f t="shared" si="29"/>
        <v>1.5779056615817637</v>
      </c>
      <c r="G247" s="82">
        <f t="shared" si="30"/>
        <v>1.819596019434715</v>
      </c>
      <c r="H247" s="226">
        <f t="shared" si="31"/>
        <v>610.7044482709787</v>
      </c>
      <c r="I247" s="138">
        <f t="shared" si="32"/>
        <v>39.53949336490926</v>
      </c>
      <c r="J247" s="113">
        <f t="shared" si="33"/>
        <v>565.0168901077097</v>
      </c>
      <c r="K247" s="140">
        <f t="shared" si="34"/>
        <v>38.4879060498285</v>
      </c>
      <c r="L247" s="113"/>
      <c r="M247" s="82"/>
    </row>
    <row r="248" spans="1:13" s="16" customFormat="1" ht="12.75">
      <c r="A248" s="264">
        <v>0.75</v>
      </c>
      <c r="B248" s="106">
        <f t="shared" si="25"/>
        <v>5.9671308112187145</v>
      </c>
      <c r="C248" s="322">
        <f t="shared" si="26"/>
        <v>5.561511449578954</v>
      </c>
      <c r="D248" s="106">
        <f t="shared" si="27"/>
        <v>1.7168607932381206</v>
      </c>
      <c r="E248" s="90">
        <f t="shared" si="28"/>
        <v>2.027170303911568</v>
      </c>
      <c r="F248" s="89">
        <f t="shared" si="29"/>
        <v>1.676333493136028</v>
      </c>
      <c r="G248" s="82">
        <f t="shared" si="30"/>
        <v>1.8970952711571634</v>
      </c>
      <c r="H248" s="226">
        <f t="shared" si="31"/>
        <v>636.7699623025189</v>
      </c>
      <c r="I248" s="138">
        <f t="shared" si="32"/>
        <v>39.00229531059879</v>
      </c>
      <c r="J248" s="113">
        <f t="shared" si="33"/>
        <v>589.8309101543529</v>
      </c>
      <c r="K248" s="140">
        <f t="shared" si="34"/>
        <v>37.94837030590486</v>
      </c>
      <c r="L248" s="113"/>
      <c r="M248" s="82"/>
    </row>
    <row r="249" spans="1:13" s="16" customFormat="1" ht="12.75">
      <c r="A249" s="264">
        <v>0.8</v>
      </c>
      <c r="B249" s="106">
        <f t="shared" si="25"/>
        <v>6.184436490110257</v>
      </c>
      <c r="C249" s="322">
        <f t="shared" si="26"/>
        <v>5.768867996172684</v>
      </c>
      <c r="D249" s="106">
        <f t="shared" si="27"/>
        <v>1.816361791718366</v>
      </c>
      <c r="E249" s="90">
        <f t="shared" si="28"/>
        <v>2.107022597604792</v>
      </c>
      <c r="F249" s="89">
        <f t="shared" si="29"/>
        <v>1.7739973500618036</v>
      </c>
      <c r="G249" s="82">
        <f t="shared" si="30"/>
        <v>1.9725601190208841</v>
      </c>
      <c r="H249" s="226">
        <f t="shared" si="31"/>
        <v>662.3481865634286</v>
      </c>
      <c r="I249" s="138">
        <f t="shared" si="32"/>
        <v>38.497584990531664</v>
      </c>
      <c r="J249" s="113">
        <f t="shared" si="33"/>
        <v>614.1677510550414</v>
      </c>
      <c r="K249" s="140">
        <f t="shared" si="34"/>
        <v>37.44214789169972</v>
      </c>
      <c r="L249" s="113"/>
      <c r="M249" s="82"/>
    </row>
    <row r="250" spans="1:13" s="16" customFormat="1" ht="12.75">
      <c r="A250" s="264">
        <v>0.85</v>
      </c>
      <c r="B250" s="106">
        <f t="shared" si="25"/>
        <v>6.397043569178149</v>
      </c>
      <c r="C250" s="322">
        <f t="shared" si="26"/>
        <v>5.971794001563269</v>
      </c>
      <c r="D250" s="106">
        <f t="shared" si="27"/>
        <v>1.9151408912886896</v>
      </c>
      <c r="E250" s="90">
        <f t="shared" si="28"/>
        <v>2.184915973898389</v>
      </c>
      <c r="F250" s="89">
        <f t="shared" si="29"/>
        <v>1.8709425488481877</v>
      </c>
      <c r="G250" s="82">
        <f t="shared" si="30"/>
        <v>2.0461509559616395</v>
      </c>
      <c r="H250" s="226">
        <f t="shared" si="31"/>
        <v>687.4716118535433</v>
      </c>
      <c r="I250" s="138">
        <f t="shared" si="32"/>
        <v>38.02177208575012</v>
      </c>
      <c r="J250" s="113">
        <f t="shared" si="33"/>
        <v>638.0601701787305</v>
      </c>
      <c r="K250" s="140">
        <f t="shared" si="34"/>
        <v>36.96549863647527</v>
      </c>
      <c r="L250" s="113"/>
      <c r="M250" s="82"/>
    </row>
    <row r="251" spans="1:13" s="16" customFormat="1" ht="12.75">
      <c r="A251" s="264">
        <v>0.9</v>
      </c>
      <c r="B251" s="106">
        <f t="shared" si="25"/>
        <v>6.605335706476253</v>
      </c>
      <c r="C251" s="322">
        <f t="shared" si="26"/>
        <v>6.170654040082261</v>
      </c>
      <c r="D251" s="106">
        <f t="shared" si="27"/>
        <v>2.0132377489082676</v>
      </c>
      <c r="E251" s="90">
        <f t="shared" si="28"/>
        <v>2.2609946468422333</v>
      </c>
      <c r="F251" s="89">
        <f t="shared" si="29"/>
        <v>1.9672096126995477</v>
      </c>
      <c r="G251" s="82">
        <f t="shared" si="30"/>
        <v>2.118007624951142</v>
      </c>
      <c r="H251" s="226">
        <f t="shared" si="31"/>
        <v>712.1690658019828</v>
      </c>
      <c r="I251" s="138">
        <f t="shared" si="32"/>
        <v>37.571830966185665</v>
      </c>
      <c r="J251" s="113">
        <f t="shared" si="33"/>
        <v>661.5371187908947</v>
      </c>
      <c r="K251" s="140">
        <f t="shared" si="34"/>
        <v>36.51527853639461</v>
      </c>
      <c r="L251" s="113"/>
      <c r="M251" s="82"/>
    </row>
    <row r="252" spans="1:13" s="16" customFormat="1" ht="12.75">
      <c r="A252" s="264">
        <v>0.95</v>
      </c>
      <c r="B252" s="106">
        <f t="shared" si="25"/>
        <v>6.80964681409774</v>
      </c>
      <c r="C252" s="322">
        <f t="shared" si="26"/>
        <v>6.3657650208586425</v>
      </c>
      <c r="D252" s="106">
        <f t="shared" si="27"/>
        <v>2.1106881146590784</v>
      </c>
      <c r="E252" s="90">
        <f t="shared" si="28"/>
        <v>2.335385517149649</v>
      </c>
      <c r="F252" s="89">
        <f t="shared" si="29"/>
        <v>2.0628349920778417</v>
      </c>
      <c r="G252" s="82">
        <f t="shared" si="30"/>
        <v>2.188252980002493</v>
      </c>
      <c r="H252" s="226">
        <f t="shared" si="31"/>
        <v>736.4662777135285</v>
      </c>
      <c r="I252" s="138">
        <f t="shared" si="32"/>
        <v>37.14518775833924</v>
      </c>
      <c r="J252" s="113">
        <f t="shared" si="33"/>
        <v>684.6243479607779</v>
      </c>
      <c r="K252" s="140">
        <f t="shared" si="34"/>
        <v>36.08881910204313</v>
      </c>
      <c r="L252" s="113"/>
      <c r="M252" s="82"/>
    </row>
    <row r="253" spans="1:13" s="16" customFormat="1" ht="12.75">
      <c r="A253" s="264">
        <v>1</v>
      </c>
      <c r="B253" s="106">
        <f t="shared" si="25"/>
        <v>7.010269660762986</v>
      </c>
      <c r="C253" s="322">
        <f t="shared" si="26"/>
        <v>6.557404499099286</v>
      </c>
      <c r="D253" s="106">
        <f t="shared" si="27"/>
        <v>2.207524381376587</v>
      </c>
      <c r="E253" s="90">
        <f t="shared" si="28"/>
        <v>2.4082009929406607</v>
      </c>
      <c r="F253" s="89">
        <f t="shared" si="29"/>
        <v>2.1578516470950797</v>
      </c>
      <c r="G253" s="82">
        <f t="shared" si="30"/>
        <v>2.256995683685489</v>
      </c>
      <c r="H253" s="226">
        <f t="shared" si="31"/>
        <v>760.3863354315386</v>
      </c>
      <c r="I253" s="138">
        <f t="shared" si="32"/>
        <v>36.739634386828875</v>
      </c>
      <c r="J253" s="113">
        <f t="shared" si="33"/>
        <v>707.3448945929686</v>
      </c>
      <c r="K253" s="140">
        <f t="shared" si="34"/>
        <v>35.683835838213746</v>
      </c>
      <c r="L253" s="113"/>
      <c r="M253" s="82"/>
    </row>
    <row r="254" spans="1:13" s="16" customFormat="1" ht="13.5" thickBot="1">
      <c r="A254" s="192"/>
      <c r="B254" s="107"/>
      <c r="C254" s="323"/>
      <c r="D254" s="107"/>
      <c r="E254" s="102"/>
      <c r="F254" s="100"/>
      <c r="G254" s="101"/>
      <c r="H254" s="107"/>
      <c r="I254" s="141"/>
      <c r="J254" s="111"/>
      <c r="K254" s="112"/>
      <c r="M254" s="82"/>
    </row>
    <row r="255" spans="11:41" ht="12.75">
      <c r="K255" s="116"/>
      <c r="L255" s="204"/>
      <c r="M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</row>
    <row r="256" spans="1:11" ht="12.75">
      <c r="A256" s="193"/>
      <c r="J256" s="194"/>
      <c r="K256" s="194"/>
    </row>
    <row r="257" spans="1:11" ht="12.75">
      <c r="A257" s="193"/>
      <c r="J257" s="194"/>
      <c r="K257" s="194"/>
    </row>
    <row r="258" spans="1:11" ht="12.75">
      <c r="A258" s="116"/>
      <c r="J258" s="194"/>
      <c r="K258" s="194"/>
    </row>
    <row r="259" spans="1:11" ht="12.75">
      <c r="A259" s="193"/>
      <c r="J259" s="194"/>
      <c r="K259" s="194"/>
    </row>
    <row r="260" spans="1:12" ht="12.75">
      <c r="A260" s="195"/>
      <c r="B260" s="195"/>
      <c r="C260" s="196"/>
      <c r="D260" s="195"/>
      <c r="E260" s="196"/>
      <c r="F260" s="197"/>
      <c r="G260" s="195"/>
      <c r="H260" s="195"/>
      <c r="I260" s="193"/>
      <c r="L260" s="195"/>
    </row>
    <row r="261" spans="1:12" ht="12.75">
      <c r="A261" s="198"/>
      <c r="B261" s="198"/>
      <c r="C261" s="198"/>
      <c r="D261" s="198"/>
      <c r="E261" s="198"/>
      <c r="F261" s="198"/>
      <c r="G261" s="198"/>
      <c r="H261" s="198"/>
      <c r="L261" s="198"/>
    </row>
    <row r="262" spans="1:12" ht="12.75">
      <c r="A262" s="199"/>
      <c r="B262" s="199"/>
      <c r="C262" s="199"/>
      <c r="D262" s="199"/>
      <c r="E262" s="199"/>
      <c r="F262" s="199"/>
      <c r="G262" s="194"/>
      <c r="H262" s="198"/>
      <c r="I262" s="200"/>
      <c r="J262" s="198"/>
      <c r="K262" s="194"/>
      <c r="L262" s="199"/>
    </row>
    <row r="263" spans="1:12" ht="12.75">
      <c r="A263" s="199"/>
      <c r="B263" s="199"/>
      <c r="C263" s="199"/>
      <c r="D263" s="199"/>
      <c r="E263" s="199"/>
      <c r="F263" s="199"/>
      <c r="G263" s="194"/>
      <c r="H263" s="201"/>
      <c r="I263" s="202"/>
      <c r="J263" s="203"/>
      <c r="K263" s="198"/>
      <c r="L263" s="199"/>
    </row>
    <row r="264" spans="1:11" ht="12.75">
      <c r="A264" s="199"/>
      <c r="B264" s="199"/>
      <c r="C264" s="199"/>
      <c r="D264" s="199"/>
      <c r="E264" s="199"/>
      <c r="F264" s="199"/>
      <c r="G264" s="194"/>
      <c r="H264" s="201"/>
      <c r="I264" s="200"/>
      <c r="J264" s="198"/>
      <c r="K264" s="198"/>
    </row>
    <row r="265" spans="1:10" ht="12.75">
      <c r="A265" s="199"/>
      <c r="B265" s="199"/>
      <c r="C265" s="199"/>
      <c r="D265" s="199"/>
      <c r="E265" s="199"/>
      <c r="F265" s="199"/>
      <c r="G265" s="194"/>
      <c r="H265" s="201"/>
      <c r="I265" s="200"/>
      <c r="J265" s="198"/>
    </row>
    <row r="266" spans="1:13" ht="12.75">
      <c r="A266" s="199"/>
      <c r="B266" s="199"/>
      <c r="C266" s="199"/>
      <c r="D266" s="199"/>
      <c r="E266" s="199"/>
      <c r="F266" s="199"/>
      <c r="G266" s="194"/>
      <c r="H266" s="201"/>
      <c r="I266" s="200"/>
      <c r="J266" s="198"/>
      <c r="K266" s="199"/>
      <c r="L266" s="116"/>
      <c r="M266" s="116"/>
    </row>
    <row r="267" spans="1:13" ht="12.75">
      <c r="A267" s="199"/>
      <c r="B267" s="199"/>
      <c r="C267" s="199"/>
      <c r="D267" s="199"/>
      <c r="E267" s="199"/>
      <c r="F267" s="199"/>
      <c r="G267" s="194"/>
      <c r="H267" s="201"/>
      <c r="I267" s="202"/>
      <c r="J267" s="203"/>
      <c r="L267" s="116"/>
      <c r="M267" s="116"/>
    </row>
    <row r="268" spans="1:13" ht="12.75">
      <c r="A268" s="199"/>
      <c r="B268" s="199"/>
      <c r="C268" s="199"/>
      <c r="D268" s="199"/>
      <c r="E268" s="199"/>
      <c r="F268" s="199"/>
      <c r="G268" s="194"/>
      <c r="H268" s="201"/>
      <c r="I268" s="200"/>
      <c r="J268" s="198"/>
      <c r="K268" s="199"/>
      <c r="L268" s="116"/>
      <c r="M268" s="116"/>
    </row>
    <row r="269" spans="1:13" ht="12.75">
      <c r="A269" s="199"/>
      <c r="B269" s="199"/>
      <c r="C269" s="199"/>
      <c r="D269" s="199"/>
      <c r="E269" s="199"/>
      <c r="F269" s="199"/>
      <c r="G269" s="194"/>
      <c r="H269" s="201"/>
      <c r="J269" s="116"/>
      <c r="K269" s="116"/>
      <c r="L269" s="116"/>
      <c r="M269" s="116"/>
    </row>
    <row r="270" spans="1:13" ht="12.75">
      <c r="A270" s="199"/>
      <c r="B270" s="199"/>
      <c r="C270" s="199"/>
      <c r="D270" s="199"/>
      <c r="E270" s="199"/>
      <c r="F270" s="199"/>
      <c r="G270" s="194"/>
      <c r="H270" s="201"/>
      <c r="J270" s="116"/>
      <c r="K270" s="116"/>
      <c r="L270" s="116"/>
      <c r="M270" s="116"/>
    </row>
    <row r="271" spans="1:13" ht="12.75">
      <c r="A271" s="199"/>
      <c r="B271" s="199"/>
      <c r="C271" s="199"/>
      <c r="D271" s="199"/>
      <c r="E271" s="199"/>
      <c r="F271" s="199"/>
      <c r="G271" s="194"/>
      <c r="H271" s="201"/>
      <c r="J271" s="116"/>
      <c r="K271" s="116"/>
      <c r="L271" s="116"/>
      <c r="M271" s="116"/>
    </row>
    <row r="272" spans="1:13" ht="12.75">
      <c r="A272" s="199"/>
      <c r="B272" s="199"/>
      <c r="C272" s="199"/>
      <c r="D272" s="199"/>
      <c r="E272" s="199"/>
      <c r="F272" s="199"/>
      <c r="G272" s="194"/>
      <c r="H272" s="201"/>
      <c r="J272" s="116"/>
      <c r="K272" s="116"/>
      <c r="L272" s="116"/>
      <c r="M272" s="116"/>
    </row>
    <row r="273" spans="1:13" ht="12.75">
      <c r="A273" s="199"/>
      <c r="B273" s="199"/>
      <c r="C273" s="199"/>
      <c r="D273" s="199"/>
      <c r="E273" s="199"/>
      <c r="F273" s="199"/>
      <c r="G273" s="194"/>
      <c r="H273" s="201"/>
      <c r="J273" s="116"/>
      <c r="K273" s="116"/>
      <c r="L273" s="116"/>
      <c r="M273" s="116"/>
    </row>
    <row r="274" spans="1:13" ht="12.75">
      <c r="A274" s="199"/>
      <c r="B274" s="199"/>
      <c r="C274" s="199"/>
      <c r="D274" s="199"/>
      <c r="E274" s="199"/>
      <c r="F274" s="199"/>
      <c r="G274" s="194"/>
      <c r="H274" s="201"/>
      <c r="J274" s="116"/>
      <c r="K274" s="116"/>
      <c r="L274" s="116"/>
      <c r="M274" s="116"/>
    </row>
    <row r="275" spans="1:13" ht="12.75">
      <c r="A275" s="199"/>
      <c r="B275" s="199"/>
      <c r="C275" s="199"/>
      <c r="D275" s="199"/>
      <c r="E275" s="199"/>
      <c r="F275" s="199"/>
      <c r="G275" s="194"/>
      <c r="H275" s="201"/>
      <c r="J275" s="116"/>
      <c r="K275" s="116"/>
      <c r="L275" s="116"/>
      <c r="M275" s="116"/>
    </row>
    <row r="276" spans="1:13" ht="12.75">
      <c r="A276" s="199"/>
      <c r="B276" s="199"/>
      <c r="C276" s="199"/>
      <c r="D276" s="199"/>
      <c r="E276" s="199"/>
      <c r="F276" s="199"/>
      <c r="G276" s="194"/>
      <c r="H276" s="201"/>
      <c r="J276" s="116"/>
      <c r="K276" s="116"/>
      <c r="L276" s="116"/>
      <c r="M276" s="116"/>
    </row>
    <row r="277" spans="1:13" ht="12.75">
      <c r="A277" s="199"/>
      <c r="B277" s="199"/>
      <c r="C277" s="199"/>
      <c r="D277" s="199"/>
      <c r="E277" s="199"/>
      <c r="F277" s="199"/>
      <c r="G277" s="194"/>
      <c r="H277" s="201"/>
      <c r="J277" s="116"/>
      <c r="K277" s="116"/>
      <c r="L277" s="116"/>
      <c r="M277" s="116"/>
    </row>
    <row r="278" spans="1:13" ht="12.75">
      <c r="A278" s="199"/>
      <c r="B278" s="199"/>
      <c r="C278" s="199"/>
      <c r="D278" s="199"/>
      <c r="E278" s="199"/>
      <c r="F278" s="199"/>
      <c r="G278" s="194"/>
      <c r="H278" s="201"/>
      <c r="J278" s="116"/>
      <c r="K278" s="116"/>
      <c r="L278" s="116"/>
      <c r="M278" s="116"/>
    </row>
    <row r="279" spans="1:13" ht="12.75">
      <c r="A279" s="199"/>
      <c r="B279" s="199"/>
      <c r="C279" s="199"/>
      <c r="D279" s="199"/>
      <c r="E279" s="199"/>
      <c r="F279" s="199"/>
      <c r="G279" s="194"/>
      <c r="H279" s="201"/>
      <c r="J279" s="116"/>
      <c r="K279" s="116"/>
      <c r="L279" s="116"/>
      <c r="M279" s="116"/>
    </row>
    <row r="280" spans="1:13" ht="12.75">
      <c r="A280" s="199"/>
      <c r="B280" s="199"/>
      <c r="C280" s="199"/>
      <c r="D280" s="199"/>
      <c r="E280" s="199"/>
      <c r="F280" s="199"/>
      <c r="G280" s="194"/>
      <c r="H280" s="201"/>
      <c r="J280" s="116"/>
      <c r="K280" s="116"/>
      <c r="L280" s="116"/>
      <c r="M280" s="116"/>
    </row>
    <row r="281" spans="1:13" ht="12.75">
      <c r="A281" s="199"/>
      <c r="B281" s="199"/>
      <c r="C281" s="199"/>
      <c r="D281" s="199"/>
      <c r="E281" s="199"/>
      <c r="F281" s="199"/>
      <c r="G281" s="194"/>
      <c r="H281" s="201"/>
      <c r="J281" s="116"/>
      <c r="K281" s="116"/>
      <c r="L281" s="116"/>
      <c r="M281" s="116"/>
    </row>
    <row r="282" spans="1:13" ht="12.75">
      <c r="A282" s="199"/>
      <c r="B282" s="199"/>
      <c r="C282" s="199"/>
      <c r="D282" s="199"/>
      <c r="E282" s="199"/>
      <c r="F282" s="199"/>
      <c r="G282" s="194"/>
      <c r="H282" s="201"/>
      <c r="J282" s="116"/>
      <c r="K282" s="116"/>
      <c r="L282" s="116"/>
      <c r="M282" s="116"/>
    </row>
    <row r="283" spans="1:13" ht="12.75">
      <c r="A283" s="199"/>
      <c r="B283" s="199"/>
      <c r="C283" s="199"/>
      <c r="D283" s="199"/>
      <c r="E283" s="199"/>
      <c r="F283" s="199"/>
      <c r="G283" s="194"/>
      <c r="H283" s="201"/>
      <c r="J283" s="116"/>
      <c r="K283" s="116"/>
      <c r="L283" s="116"/>
      <c r="M283" s="116"/>
    </row>
    <row r="284" spans="1:13" ht="12.75">
      <c r="A284" s="199"/>
      <c r="B284" s="199"/>
      <c r="C284" s="199"/>
      <c r="D284" s="199"/>
      <c r="E284" s="199"/>
      <c r="F284" s="199"/>
      <c r="G284" s="194"/>
      <c r="H284" s="201"/>
      <c r="J284" s="116"/>
      <c r="K284" s="116"/>
      <c r="L284" s="116"/>
      <c r="M284" s="116"/>
    </row>
    <row r="285" spans="1:13" ht="12.75">
      <c r="A285" s="199"/>
      <c r="B285" s="199"/>
      <c r="C285" s="199"/>
      <c r="D285" s="199"/>
      <c r="E285" s="199"/>
      <c r="F285" s="199"/>
      <c r="G285" s="194"/>
      <c r="H285" s="201"/>
      <c r="J285" s="116"/>
      <c r="K285" s="116"/>
      <c r="L285" s="116"/>
      <c r="M285" s="116"/>
    </row>
    <row r="286" spans="1:13" ht="12.75">
      <c r="A286" s="199"/>
      <c r="B286" s="199"/>
      <c r="C286" s="199"/>
      <c r="D286" s="199"/>
      <c r="E286" s="199"/>
      <c r="F286" s="199"/>
      <c r="G286" s="194"/>
      <c r="H286" s="201"/>
      <c r="J286" s="116"/>
      <c r="K286" s="116"/>
      <c r="L286" s="116"/>
      <c r="M286" s="116"/>
    </row>
    <row r="287" spans="1:13" ht="12.75">
      <c r="A287" s="199"/>
      <c r="B287" s="199"/>
      <c r="C287" s="199"/>
      <c r="D287" s="199"/>
      <c r="E287" s="199"/>
      <c r="F287" s="199"/>
      <c r="G287" s="194"/>
      <c r="H287" s="201"/>
      <c r="J287" s="116"/>
      <c r="K287" s="116"/>
      <c r="L287" s="116"/>
      <c r="M287" s="116"/>
    </row>
    <row r="288" spans="1:13" ht="12.75">
      <c r="A288" s="199"/>
      <c r="B288" s="199"/>
      <c r="C288" s="199"/>
      <c r="D288" s="199"/>
      <c r="E288" s="199"/>
      <c r="F288" s="199"/>
      <c r="G288" s="194"/>
      <c r="H288" s="201"/>
      <c r="J288" s="116"/>
      <c r="K288" s="116"/>
      <c r="L288" s="116"/>
      <c r="M288" s="116"/>
    </row>
    <row r="289" spans="1:13" ht="12.75">
      <c r="A289" s="199"/>
      <c r="B289" s="199"/>
      <c r="C289" s="199"/>
      <c r="D289" s="199"/>
      <c r="E289" s="199"/>
      <c r="F289" s="199"/>
      <c r="G289" s="194"/>
      <c r="H289" s="201"/>
      <c r="J289" s="116"/>
      <c r="K289" s="116"/>
      <c r="L289" s="116"/>
      <c r="M289" s="116"/>
    </row>
    <row r="290" spans="1:13" ht="12.75">
      <c r="A290" s="199"/>
      <c r="B290" s="199"/>
      <c r="C290" s="199"/>
      <c r="D290" s="199"/>
      <c r="E290" s="199"/>
      <c r="F290" s="199"/>
      <c r="G290" s="194"/>
      <c r="H290" s="201"/>
      <c r="J290" s="116"/>
      <c r="K290" s="116"/>
      <c r="L290" s="116"/>
      <c r="M290" s="116"/>
    </row>
    <row r="291" spans="1:13" ht="12.75">
      <c r="A291" s="199"/>
      <c r="B291" s="199"/>
      <c r="C291" s="199"/>
      <c r="D291" s="199"/>
      <c r="E291" s="199"/>
      <c r="F291" s="199"/>
      <c r="G291" s="194"/>
      <c r="H291" s="201"/>
      <c r="J291" s="116"/>
      <c r="K291" s="116"/>
      <c r="L291" s="116"/>
      <c r="M291" s="116"/>
    </row>
    <row r="292" spans="1:13" ht="12.75">
      <c r="A292" s="199"/>
      <c r="B292" s="199"/>
      <c r="C292" s="199"/>
      <c r="D292" s="199"/>
      <c r="E292" s="199"/>
      <c r="F292" s="199"/>
      <c r="G292" s="194"/>
      <c r="H292" s="201"/>
      <c r="J292" s="116"/>
      <c r="K292" s="116"/>
      <c r="L292" s="116"/>
      <c r="M292" s="116"/>
    </row>
    <row r="293" spans="1:13" ht="12.75">
      <c r="A293" s="199"/>
      <c r="B293" s="199"/>
      <c r="C293" s="199"/>
      <c r="D293" s="199"/>
      <c r="E293" s="199"/>
      <c r="F293" s="199"/>
      <c r="G293" s="194"/>
      <c r="H293" s="201"/>
      <c r="J293" s="116"/>
      <c r="K293" s="116"/>
      <c r="L293" s="116"/>
      <c r="M293" s="116"/>
    </row>
    <row r="294" spans="1:13" ht="12.75">
      <c r="A294" s="199"/>
      <c r="B294" s="199"/>
      <c r="C294" s="199"/>
      <c r="D294" s="199"/>
      <c r="E294" s="199"/>
      <c r="F294" s="199"/>
      <c r="G294" s="194"/>
      <c r="H294" s="201"/>
      <c r="J294" s="116"/>
      <c r="K294" s="116"/>
      <c r="L294" s="116"/>
      <c r="M294" s="116"/>
    </row>
    <row r="295" spans="1:13" ht="12.75">
      <c r="A295" s="199"/>
      <c r="B295" s="199"/>
      <c r="C295" s="199"/>
      <c r="D295" s="199"/>
      <c r="E295" s="199"/>
      <c r="F295" s="199"/>
      <c r="G295" s="194"/>
      <c r="H295" s="201"/>
      <c r="J295" s="116"/>
      <c r="K295" s="116"/>
      <c r="L295" s="116"/>
      <c r="M295" s="116"/>
    </row>
    <row r="296" spans="1:13" ht="12.75">
      <c r="A296" s="199"/>
      <c r="B296" s="199"/>
      <c r="C296" s="199"/>
      <c r="D296" s="199"/>
      <c r="E296" s="199"/>
      <c r="F296" s="199"/>
      <c r="G296" s="194"/>
      <c r="H296" s="201"/>
      <c r="J296" s="116"/>
      <c r="K296" s="116"/>
      <c r="L296" s="116"/>
      <c r="M296" s="116"/>
    </row>
    <row r="297" spans="1:13" ht="12.75">
      <c r="A297" s="199"/>
      <c r="B297" s="199"/>
      <c r="C297" s="199"/>
      <c r="D297" s="199"/>
      <c r="E297" s="199"/>
      <c r="F297" s="199"/>
      <c r="G297" s="194"/>
      <c r="H297" s="201"/>
      <c r="J297" s="116"/>
      <c r="K297" s="116"/>
      <c r="L297" s="116"/>
      <c r="M297" s="116"/>
    </row>
    <row r="298" spans="1:13" ht="12.75">
      <c r="A298" s="199"/>
      <c r="B298" s="199"/>
      <c r="C298" s="199"/>
      <c r="D298" s="199"/>
      <c r="E298" s="199"/>
      <c r="F298" s="199"/>
      <c r="G298" s="194"/>
      <c r="H298" s="201"/>
      <c r="J298" s="116"/>
      <c r="K298" s="116"/>
      <c r="L298" s="116"/>
      <c r="M298" s="116"/>
    </row>
    <row r="299" spans="1:13" ht="12.75">
      <c r="A299" s="199"/>
      <c r="B299" s="199"/>
      <c r="C299" s="199"/>
      <c r="D299" s="199"/>
      <c r="E299" s="199"/>
      <c r="F299" s="199"/>
      <c r="G299" s="194"/>
      <c r="H299" s="201"/>
      <c r="J299" s="116"/>
      <c r="K299" s="116"/>
      <c r="L299" s="116"/>
      <c r="M299" s="116"/>
    </row>
    <row r="300" spans="1:13" ht="12.75">
      <c r="A300" s="199"/>
      <c r="B300" s="199"/>
      <c r="C300" s="199"/>
      <c r="D300" s="199"/>
      <c r="E300" s="199"/>
      <c r="F300" s="199"/>
      <c r="G300" s="194"/>
      <c r="H300" s="201"/>
      <c r="J300" s="116"/>
      <c r="K300" s="116"/>
      <c r="L300" s="116"/>
      <c r="M300" s="116"/>
    </row>
    <row r="301" spans="1:13" ht="12.75">
      <c r="A301" s="199"/>
      <c r="B301" s="199"/>
      <c r="C301" s="199"/>
      <c r="D301" s="199"/>
      <c r="E301" s="199"/>
      <c r="F301" s="199"/>
      <c r="G301" s="194"/>
      <c r="H301" s="201"/>
      <c r="J301" s="116"/>
      <c r="K301" s="116"/>
      <c r="L301" s="116"/>
      <c r="M301" s="116"/>
    </row>
    <row r="302" spans="1:13" ht="12.75">
      <c r="A302" s="199"/>
      <c r="B302" s="199"/>
      <c r="C302" s="199"/>
      <c r="D302" s="199"/>
      <c r="E302" s="199"/>
      <c r="F302" s="199"/>
      <c r="G302" s="194"/>
      <c r="H302" s="201"/>
      <c r="J302" s="116"/>
      <c r="K302" s="116"/>
      <c r="L302" s="116"/>
      <c r="M302" s="116"/>
    </row>
    <row r="303" spans="1:13" ht="12.75">
      <c r="A303" s="199"/>
      <c r="B303" s="199"/>
      <c r="C303" s="199"/>
      <c r="D303" s="199"/>
      <c r="E303" s="199"/>
      <c r="F303" s="199"/>
      <c r="G303" s="194"/>
      <c r="H303" s="201"/>
      <c r="J303" s="116"/>
      <c r="K303" s="116"/>
      <c r="L303" s="116"/>
      <c r="M303" s="116"/>
    </row>
    <row r="304" spans="1:13" ht="12.75">
      <c r="A304" s="199"/>
      <c r="B304" s="199"/>
      <c r="C304" s="199"/>
      <c r="D304" s="199"/>
      <c r="E304" s="199"/>
      <c r="F304" s="199"/>
      <c r="G304" s="194"/>
      <c r="H304" s="201"/>
      <c r="J304" s="116"/>
      <c r="K304" s="116"/>
      <c r="L304" s="116"/>
      <c r="M304" s="116"/>
    </row>
    <row r="305" spans="1:13" ht="12.75">
      <c r="A305" s="199"/>
      <c r="B305" s="199"/>
      <c r="C305" s="199"/>
      <c r="D305" s="199"/>
      <c r="E305" s="199"/>
      <c r="F305" s="199"/>
      <c r="G305" s="194"/>
      <c r="H305" s="201"/>
      <c r="J305" s="116"/>
      <c r="K305" s="116"/>
      <c r="L305" s="116"/>
      <c r="M305" s="116"/>
    </row>
    <row r="306" spans="1:13" ht="12.75">
      <c r="A306" s="199"/>
      <c r="B306" s="199"/>
      <c r="C306" s="199"/>
      <c r="D306" s="199"/>
      <c r="E306" s="199"/>
      <c r="F306" s="199"/>
      <c r="G306" s="194"/>
      <c r="H306" s="201"/>
      <c r="J306" s="116"/>
      <c r="K306" s="116"/>
      <c r="L306" s="116"/>
      <c r="M306" s="116"/>
    </row>
    <row r="307" spans="1:13" ht="12.75">
      <c r="A307" s="199"/>
      <c r="B307" s="199"/>
      <c r="C307" s="199"/>
      <c r="D307" s="199"/>
      <c r="E307" s="199"/>
      <c r="F307" s="199"/>
      <c r="G307" s="194"/>
      <c r="H307" s="201"/>
      <c r="J307" s="116"/>
      <c r="K307" s="116"/>
      <c r="L307" s="116"/>
      <c r="M307" s="116"/>
    </row>
    <row r="308" spans="1:13" ht="12.75">
      <c r="A308" s="199"/>
      <c r="B308" s="199"/>
      <c r="C308" s="199"/>
      <c r="D308" s="199"/>
      <c r="E308" s="199"/>
      <c r="F308" s="199"/>
      <c r="G308" s="194"/>
      <c r="H308" s="201"/>
      <c r="J308" s="116"/>
      <c r="K308" s="116"/>
      <c r="L308" s="116"/>
      <c r="M308" s="116"/>
    </row>
    <row r="309" spans="1:13" ht="12.75">
      <c r="A309" s="199"/>
      <c r="B309" s="199"/>
      <c r="C309" s="199"/>
      <c r="D309" s="199"/>
      <c r="E309" s="199"/>
      <c r="F309" s="199"/>
      <c r="G309" s="194"/>
      <c r="H309" s="201"/>
      <c r="J309" s="116"/>
      <c r="K309" s="116"/>
      <c r="L309" s="116"/>
      <c r="M309" s="116"/>
    </row>
    <row r="310" spans="1:13" ht="12.75">
      <c r="A310" s="199"/>
      <c r="B310" s="199"/>
      <c r="C310" s="199"/>
      <c r="D310" s="199"/>
      <c r="E310" s="199"/>
      <c r="F310" s="199"/>
      <c r="G310" s="194"/>
      <c r="H310" s="201"/>
      <c r="J310" s="116"/>
      <c r="K310" s="116"/>
      <c r="L310" s="116"/>
      <c r="M310" s="116"/>
    </row>
    <row r="311" spans="1:13" ht="12.75">
      <c r="A311" s="199"/>
      <c r="B311" s="199"/>
      <c r="C311" s="199"/>
      <c r="D311" s="199"/>
      <c r="E311" s="199"/>
      <c r="F311" s="199"/>
      <c r="G311" s="194"/>
      <c r="H311" s="201"/>
      <c r="J311" s="116"/>
      <c r="K311" s="116"/>
      <c r="L311" s="116"/>
      <c r="M311" s="116"/>
    </row>
    <row r="312" spans="1:13" ht="12.75">
      <c r="A312" s="199"/>
      <c r="B312" s="199"/>
      <c r="C312" s="199"/>
      <c r="D312" s="199"/>
      <c r="E312" s="199"/>
      <c r="F312" s="199"/>
      <c r="G312" s="194"/>
      <c r="H312" s="201"/>
      <c r="J312" s="116"/>
      <c r="K312" s="116"/>
      <c r="L312" s="116"/>
      <c r="M312" s="116"/>
    </row>
  </sheetData>
  <mergeCells count="11">
    <mergeCell ref="I23:J23"/>
    <mergeCell ref="A70:E70"/>
    <mergeCell ref="A44:E44"/>
    <mergeCell ref="N146:O146"/>
    <mergeCell ref="G23:H23"/>
    <mergeCell ref="G20:H20"/>
    <mergeCell ref="I20:J20"/>
    <mergeCell ref="G21:H21"/>
    <mergeCell ref="G22:H22"/>
    <mergeCell ref="I21:J21"/>
    <mergeCell ref="I22:J22"/>
  </mergeCells>
  <printOptions horizontalCentered="1" verticalCentered="1"/>
  <pageMargins left="0.5511811023622047" right="0.2362204724409449" top="0.34" bottom="0.5118110236220472" header="0.31496062992125984" footer="0.5118110236220472"/>
  <pageSetup horizontalDpi="300" verticalDpi="300" orientation="portrait" paperSize="9" scale="95" r:id="rId2"/>
  <headerFooter alignWithMargins="0">
    <oddHeader xml:space="preserve">&amp;C </oddHeader>
    <oddFooter xml:space="preserve">&amp;C </oddFooter>
  </headerFooter>
  <rowBreaks count="2" manualBreakCount="2">
    <brk id="140" max="255" man="1"/>
    <brk id="19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8"/>
  <sheetViews>
    <sheetView workbookViewId="0" topLeftCell="A1">
      <selection activeCell="J1" sqref="J1"/>
    </sheetView>
  </sheetViews>
  <sheetFormatPr defaultColWidth="9.140625" defaultRowHeight="12.75"/>
  <cols>
    <col min="8" max="8" width="7.140625" style="0" customWidth="1"/>
    <col min="9" max="9" width="10.140625" style="0" customWidth="1"/>
    <col min="10" max="10" width="9.57421875" style="0" customWidth="1"/>
    <col min="11" max="11" width="7.57421875" style="0" customWidth="1"/>
    <col min="12" max="12" width="11.00390625" style="0" customWidth="1"/>
    <col min="14" max="14" width="10.28125" style="0" customWidth="1"/>
    <col min="15" max="15" width="7.7109375" style="0" customWidth="1"/>
  </cols>
  <sheetData>
    <row r="1" spans="1:15" ht="15">
      <c r="A1" s="324" t="str">
        <f>'Q''_GSI'!C4</f>
        <v>Piano di recupero "La Cementifera"</v>
      </c>
      <c r="B1" s="286"/>
      <c r="D1" s="286"/>
      <c r="E1" s="17"/>
      <c r="G1" s="286"/>
      <c r="I1" s="286"/>
      <c r="J1" s="286"/>
      <c r="K1" s="286"/>
      <c r="L1" s="286"/>
      <c r="M1" s="286"/>
      <c r="N1" s="345" t="str">
        <f>'Q''_GSI'!C9</f>
        <v>RG 4</v>
      </c>
      <c r="O1" s="286"/>
    </row>
    <row r="2" spans="1:15" ht="15">
      <c r="A2" s="324" t="str">
        <f>'Q''_GSI'!C5</f>
        <v>Robbiate (LC)</v>
      </c>
      <c r="B2" s="286"/>
      <c r="C2" s="286"/>
      <c r="D2" s="286"/>
      <c r="E2" s="17"/>
      <c r="F2" s="325"/>
      <c r="G2" s="286"/>
      <c r="H2" s="324"/>
      <c r="I2" s="286"/>
      <c r="J2" s="286"/>
      <c r="K2" s="286"/>
      <c r="L2" s="286"/>
      <c r="M2" s="286"/>
      <c r="N2" s="346"/>
      <c r="O2" s="286"/>
    </row>
    <row r="3" spans="1:15" ht="15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spans="1:17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6"/>
      <c r="L4" s="91"/>
      <c r="M4" s="16"/>
      <c r="N4" s="16"/>
      <c r="O4" s="16"/>
      <c r="P4" s="116"/>
      <c r="Q4" s="116"/>
    </row>
    <row r="5" spans="1:17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6"/>
      <c r="L5" s="16"/>
      <c r="M5" s="16"/>
      <c r="N5" s="16"/>
      <c r="O5" s="16"/>
      <c r="P5" s="116"/>
      <c r="Q5" s="116"/>
    </row>
    <row r="6" spans="1:17" ht="12.75">
      <c r="A6" s="3"/>
      <c r="B6" s="3"/>
      <c r="C6" s="3"/>
      <c r="D6" s="3"/>
      <c r="E6" s="3"/>
      <c r="F6" s="3"/>
      <c r="G6" s="3"/>
      <c r="H6" s="3"/>
      <c r="I6" s="3"/>
      <c r="J6" s="17"/>
      <c r="K6" s="2"/>
      <c r="L6" s="2"/>
      <c r="M6" s="2"/>
      <c r="N6" s="2"/>
      <c r="O6" s="2"/>
      <c r="P6" s="117"/>
      <c r="Q6" s="117"/>
    </row>
    <row r="7" spans="1:17" ht="12.75">
      <c r="A7" s="3"/>
      <c r="B7" s="3"/>
      <c r="C7" s="3"/>
      <c r="D7" s="3"/>
      <c r="E7" s="3"/>
      <c r="F7" s="3"/>
      <c r="G7" s="3"/>
      <c r="H7" s="3"/>
      <c r="I7" s="3"/>
      <c r="J7" s="17"/>
      <c r="K7" s="2"/>
      <c r="L7" s="2"/>
      <c r="M7" s="2"/>
      <c r="N7" s="2"/>
      <c r="O7" s="2"/>
      <c r="P7" s="117"/>
      <c r="Q7" s="117"/>
    </row>
    <row r="8" spans="1:17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14"/>
      <c r="Q8" s="114"/>
    </row>
    <row r="9" spans="1:17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14"/>
      <c r="Q9" s="114"/>
    </row>
    <row r="10" spans="1:17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14"/>
      <c r="Q10" s="114"/>
    </row>
    <row r="11" spans="1:17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14"/>
      <c r="Q11" s="114"/>
    </row>
    <row r="12" spans="1:17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14"/>
      <c r="Q12" s="114"/>
    </row>
    <row r="13" spans="1:17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14"/>
      <c r="Q13" s="114"/>
    </row>
    <row r="14" spans="1:17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14"/>
      <c r="Q14" s="114"/>
    </row>
    <row r="15" spans="1:17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14"/>
      <c r="Q15" s="114"/>
    </row>
    <row r="16" spans="1:17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14"/>
      <c r="Q16" s="114"/>
    </row>
    <row r="17" spans="1:17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14"/>
      <c r="Q17" s="114"/>
    </row>
    <row r="18" spans="1:17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14"/>
      <c r="Q18" s="114"/>
    </row>
    <row r="19" spans="1:17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14"/>
      <c r="Q19" s="114"/>
    </row>
    <row r="20" spans="1:1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14"/>
      <c r="Q20" s="114"/>
    </row>
    <row r="21" spans="1:17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14"/>
      <c r="Q21" s="114"/>
    </row>
    <row r="22" spans="1:17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14"/>
      <c r="Q22" s="114"/>
    </row>
    <row r="23" spans="1:17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14"/>
      <c r="Q23" s="114"/>
    </row>
    <row r="24" spans="1:17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14"/>
      <c r="Q24" s="114"/>
    </row>
    <row r="25" spans="1:17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14"/>
      <c r="Q25" s="114"/>
    </row>
    <row r="26" spans="1:17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14"/>
      <c r="Q26" s="114"/>
    </row>
    <row r="27" spans="1:17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14"/>
      <c r="Q27" s="114"/>
    </row>
    <row r="28" spans="1:17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14"/>
      <c r="Q28" s="114"/>
    </row>
    <row r="29" spans="1:17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14"/>
      <c r="Q29" s="114"/>
    </row>
    <row r="30" spans="1:17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14"/>
      <c r="Q30" s="114"/>
    </row>
    <row r="31" spans="1:17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14"/>
      <c r="Q31" s="114"/>
    </row>
    <row r="32" spans="1:15" ht="12.75">
      <c r="A32" s="76" t="s">
        <v>57</v>
      </c>
      <c r="B32" s="17"/>
      <c r="C32" s="17"/>
      <c r="D32" s="17"/>
      <c r="E32" s="17"/>
      <c r="F32" s="17"/>
      <c r="G32" s="17"/>
      <c r="I32" s="17"/>
      <c r="J32" s="17"/>
      <c r="K32" s="17"/>
      <c r="L32" s="17"/>
      <c r="M32" s="17"/>
      <c r="O32" s="17"/>
    </row>
    <row r="33" spans="1:15" ht="15.75">
      <c r="A33" s="238" t="s">
        <v>128</v>
      </c>
      <c r="B33" s="17"/>
      <c r="C33" s="17"/>
      <c r="D33" s="17"/>
      <c r="E33" s="17"/>
      <c r="F33" s="17"/>
      <c r="G33" s="17"/>
      <c r="H33" s="39" t="s">
        <v>115</v>
      </c>
      <c r="I33" s="287"/>
      <c r="J33" s="287"/>
      <c r="K33" s="287"/>
      <c r="L33" s="287"/>
      <c r="M33" s="40" t="s">
        <v>114</v>
      </c>
      <c r="N33" s="40" t="s">
        <v>94</v>
      </c>
      <c r="O33" s="17"/>
    </row>
    <row r="34" spans="1:15" ht="14.25">
      <c r="A34" s="17"/>
      <c r="B34" s="17"/>
      <c r="C34" s="17"/>
      <c r="D34" s="17"/>
      <c r="E34" s="17"/>
      <c r="F34" s="17"/>
      <c r="G34" s="17"/>
      <c r="H34" s="65" t="s">
        <v>62</v>
      </c>
      <c r="I34" s="80"/>
      <c r="J34" s="80"/>
      <c r="K34" s="80"/>
      <c r="L34" s="9" t="s">
        <v>125</v>
      </c>
      <c r="M34" s="83">
        <f>'Q''_GSI'!J121</f>
        <v>0.7154134634559011</v>
      </c>
      <c r="N34" s="83">
        <f>'Q''_GSI'!J129</f>
        <v>0.6427255392251277</v>
      </c>
      <c r="O34" s="17"/>
    </row>
    <row r="35" spans="1:15" ht="12.75">
      <c r="A35" s="39" t="s">
        <v>58</v>
      </c>
      <c r="B35" s="287"/>
      <c r="C35" s="287"/>
      <c r="D35" s="287"/>
      <c r="E35" s="287"/>
      <c r="F35" s="288"/>
      <c r="G35" s="17"/>
      <c r="H35" s="68"/>
      <c r="I35" s="2"/>
      <c r="J35" s="2"/>
      <c r="K35" s="2"/>
      <c r="L35" s="162" t="s">
        <v>63</v>
      </c>
      <c r="M35" s="240">
        <f>'Q''_GSI'!J122</f>
        <v>0.000584680832876515</v>
      </c>
      <c r="N35" s="240">
        <f>'Q''_GSI'!J130</f>
        <v>0.0004189421234483841</v>
      </c>
      <c r="O35" s="17"/>
    </row>
    <row r="36" spans="1:15" ht="14.25">
      <c r="A36" s="68" t="s">
        <v>59</v>
      </c>
      <c r="B36" s="16"/>
      <c r="C36" s="16"/>
      <c r="D36" s="16"/>
      <c r="E36" s="234" t="s">
        <v>121</v>
      </c>
      <c r="F36" s="49">
        <f>'Q''_GSI'!J114</f>
        <v>56.52</v>
      </c>
      <c r="G36" s="17"/>
      <c r="H36" s="68"/>
      <c r="I36" s="2"/>
      <c r="J36" s="2"/>
      <c r="K36" s="2"/>
      <c r="L36" s="162" t="s">
        <v>84</v>
      </c>
      <c r="M36" s="266">
        <f>'Q''_GSI'!J123</f>
        <v>0.518259153709567</v>
      </c>
      <c r="N36" s="266">
        <f>'Q''_GSI'!J131</f>
        <v>0.5223483061068095</v>
      </c>
      <c r="O36" s="17"/>
    </row>
    <row r="37" spans="1:15" ht="14.25">
      <c r="A37" s="68" t="s">
        <v>86</v>
      </c>
      <c r="B37" s="16"/>
      <c r="C37" s="16"/>
      <c r="D37" s="16"/>
      <c r="E37" s="235" t="s">
        <v>122</v>
      </c>
      <c r="F37" s="37">
        <f>'Q''_GSI'!J115</f>
        <v>7.104343763944569</v>
      </c>
      <c r="G37" s="17"/>
      <c r="H37" s="65" t="s">
        <v>88</v>
      </c>
      <c r="I37" s="66"/>
      <c r="J37" s="66"/>
      <c r="K37" s="66"/>
      <c r="L37" s="234" t="s">
        <v>87</v>
      </c>
      <c r="M37" s="231">
        <f>'Q''_GSI'!J124</f>
        <v>0.04619169523948669</v>
      </c>
      <c r="N37" s="231">
        <f>'Q''_GSI'!J132</f>
        <v>0.03684093345014684</v>
      </c>
      <c r="O37" s="17"/>
    </row>
    <row r="38" spans="1:15" ht="14.25">
      <c r="A38" s="216" t="s">
        <v>60</v>
      </c>
      <c r="B38" s="284"/>
      <c r="C38" s="284"/>
      <c r="D38" s="284"/>
      <c r="E38" s="232" t="s">
        <v>61</v>
      </c>
      <c r="F38" s="289">
        <f>'Q''_GSI'!J116</f>
        <v>7.83</v>
      </c>
      <c r="G38" s="17"/>
      <c r="H38" s="68" t="s">
        <v>64</v>
      </c>
      <c r="I38" s="2"/>
      <c r="J38" s="2"/>
      <c r="K38" s="2"/>
      <c r="L38" s="235" t="s">
        <v>126</v>
      </c>
      <c r="M38" s="119">
        <f>'Q''_GSI'!J125</f>
        <v>1.19296652141202</v>
      </c>
      <c r="N38" s="119">
        <f>'Q''_GSI'!J133</f>
        <v>0.972277044739981</v>
      </c>
      <c r="O38" s="17"/>
    </row>
    <row r="39" spans="1:15" ht="14.25">
      <c r="A39" s="16"/>
      <c r="B39" s="16"/>
      <c r="C39" s="16"/>
      <c r="D39" s="16"/>
      <c r="E39" s="11"/>
      <c r="F39" s="307"/>
      <c r="G39" s="17"/>
      <c r="H39" s="68" t="s">
        <v>100</v>
      </c>
      <c r="I39" s="2"/>
      <c r="J39" s="2"/>
      <c r="K39" s="2"/>
      <c r="L39" s="235" t="s">
        <v>101</v>
      </c>
      <c r="M39" s="119">
        <f>'Q''_GSI'!J126</f>
        <v>5.9182098000779995</v>
      </c>
      <c r="N39" s="119">
        <f>'Q''_GSI'!J134</f>
        <v>5.47146861112503</v>
      </c>
      <c r="O39" s="17"/>
    </row>
    <row r="40" spans="1:15" ht="14.25">
      <c r="A40" s="3"/>
      <c r="B40" s="3"/>
      <c r="C40" s="3"/>
      <c r="D40" s="3"/>
      <c r="E40" s="3"/>
      <c r="F40" s="3"/>
      <c r="G40" s="3"/>
      <c r="H40" s="216" t="s">
        <v>117</v>
      </c>
      <c r="I40" s="217"/>
      <c r="J40" s="217"/>
      <c r="K40" s="217"/>
      <c r="L40" s="232" t="s">
        <v>127</v>
      </c>
      <c r="M40" s="118">
        <f>'Q''_GSI'!J139</f>
        <v>2.8255375067777475</v>
      </c>
      <c r="N40" s="118">
        <f>'Q''_GSI'!J140</f>
        <v>2.377393530739074</v>
      </c>
      <c r="O40" s="17"/>
    </row>
    <row r="41" spans="1:13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</row>
    <row r="42" spans="1:13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</row>
    <row r="43" spans="1:13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</row>
    <row r="44" spans="1:17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</row>
    <row r="45" spans="1:17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</row>
    <row r="46" spans="1:17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</row>
    <row r="47" spans="1:17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</row>
    <row r="48" spans="1:17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</row>
    <row r="49" spans="1:17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</row>
    <row r="50" spans="1:17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</row>
    <row r="51" spans="1:17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</row>
    <row r="52" spans="1:17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</row>
    <row r="53" spans="1:17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</row>
    <row r="54" spans="1:17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</row>
    <row r="55" spans="1:17" ht="12.75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</row>
    <row r="56" spans="1:17" ht="12.75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</row>
    <row r="57" spans="1:17" ht="12.75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</row>
    <row r="58" spans="1:17" ht="12.7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</row>
    <row r="59" spans="1:17" ht="12.75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</row>
    <row r="60" spans="1:17" ht="12.7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</row>
    <row r="61" spans="1:17" ht="12.7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</row>
    <row r="62" spans="1:17" ht="12.7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</row>
    <row r="63" spans="1:17" ht="12.7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</row>
    <row r="64" spans="1:17" ht="12.7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</row>
    <row r="65" spans="1:17" ht="12.75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</row>
    <row r="66" spans="1:17" ht="12.75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</row>
    <row r="67" spans="1:17" ht="12.7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</row>
    <row r="68" spans="1:17" ht="12.75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</row>
    <row r="69" spans="1:17" ht="12.75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</row>
    <row r="70" spans="1:17" ht="12.75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</row>
    <row r="71" spans="1:17" ht="12.75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</row>
    <row r="72" spans="1:17" ht="12.75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</row>
    <row r="73" spans="1:17" ht="12.75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</row>
    <row r="74" spans="1:17" ht="12.75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</row>
    <row r="75" spans="1:17" ht="12.75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</row>
    <row r="76" spans="1:17" ht="12.75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</row>
    <row r="77" spans="1:17" ht="12.75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</row>
    <row r="78" spans="1:17" ht="12.75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</row>
    <row r="79" spans="1:17" ht="12.75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</row>
    <row r="80" spans="1:17" ht="12.75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</row>
    <row r="81" spans="1:17" ht="12.75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</row>
    <row r="82" spans="1:17" ht="12.75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</row>
    <row r="83" spans="1:17" ht="12.7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</row>
    <row r="84" spans="1:17" ht="12.75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</row>
    <row r="85" spans="1:17" ht="12.7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</row>
    <row r="86" spans="1:17" ht="12.75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</row>
    <row r="87" spans="1:17" ht="12.7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</row>
    <row r="88" spans="1:17" ht="12.7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</row>
    <row r="89" spans="1:17" ht="12.7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</row>
    <row r="90" spans="1:17" ht="12.75">
      <c r="A90" s="114"/>
      <c r="B90" s="114"/>
      <c r="C90" s="114"/>
      <c r="D90" s="114"/>
      <c r="E90" s="115"/>
      <c r="F90" s="115"/>
      <c r="G90" s="115"/>
      <c r="H90" s="115"/>
      <c r="I90" s="115"/>
      <c r="J90" s="115"/>
      <c r="K90" s="114"/>
      <c r="L90" s="114"/>
      <c r="M90" s="114"/>
      <c r="N90" s="114"/>
      <c r="O90" s="114"/>
      <c r="P90" s="114"/>
      <c r="Q90" s="114"/>
    </row>
    <row r="91" spans="1:17" ht="12.75">
      <c r="A91" s="114"/>
      <c r="B91" s="114"/>
      <c r="C91" s="114"/>
      <c r="D91" s="114"/>
      <c r="E91" s="115"/>
      <c r="F91" s="115"/>
      <c r="G91" s="115"/>
      <c r="H91" s="115"/>
      <c r="I91" s="115"/>
      <c r="J91" s="115"/>
      <c r="K91" s="114"/>
      <c r="L91" s="114"/>
      <c r="M91" s="114"/>
      <c r="N91" s="114"/>
      <c r="O91" s="114"/>
      <c r="P91" s="114"/>
      <c r="Q91" s="114"/>
    </row>
    <row r="92" spans="1:17" ht="12.75">
      <c r="A92" s="114"/>
      <c r="B92" s="114"/>
      <c r="C92" s="114"/>
      <c r="D92" s="114"/>
      <c r="E92" s="115"/>
      <c r="F92" s="115"/>
      <c r="G92" s="115"/>
      <c r="H92" s="115"/>
      <c r="I92" s="115"/>
      <c r="J92" s="115"/>
      <c r="K92" s="114"/>
      <c r="L92" s="114"/>
      <c r="M92" s="114"/>
      <c r="N92" s="114"/>
      <c r="O92" s="114"/>
      <c r="P92" s="114"/>
      <c r="Q92" s="114"/>
    </row>
    <row r="93" spans="1:17" ht="12.75">
      <c r="A93" s="114"/>
      <c r="B93" s="114"/>
      <c r="C93" s="114"/>
      <c r="D93" s="114"/>
      <c r="E93" s="115"/>
      <c r="F93" s="115"/>
      <c r="G93" s="115"/>
      <c r="H93" s="115"/>
      <c r="I93" s="115"/>
      <c r="J93" s="115"/>
      <c r="K93" s="114"/>
      <c r="L93" s="114"/>
      <c r="M93" s="114"/>
      <c r="N93" s="114"/>
      <c r="O93" s="114"/>
      <c r="P93" s="114"/>
      <c r="Q93" s="114"/>
    </row>
    <row r="94" spans="1:17" ht="12.75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</row>
    <row r="95" spans="1:17" ht="12.75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</row>
    <row r="96" spans="1:17" ht="12.75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1:17" ht="12.75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1:17" ht="12.75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1:17" ht="12.75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spans="1:17" ht="12.75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</row>
    <row r="101" spans="1:17" ht="12.75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</row>
    <row r="102" spans="1:17" ht="12.75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</row>
    <row r="103" spans="1:17" ht="12.75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</row>
    <row r="104" spans="1:17" ht="12.75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</row>
    <row r="105" spans="1:17" ht="12.75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</row>
    <row r="106" spans="1:17" ht="12.75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</row>
    <row r="107" spans="1:17" ht="12.75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</row>
    <row r="108" spans="1:17" ht="12.75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</row>
    <row r="109" spans="1:17" ht="12.75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</row>
    <row r="110" spans="1:17" ht="12.75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</row>
    <row r="111" spans="1:17" ht="12.7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</row>
    <row r="112" spans="1:17" ht="12.75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</row>
    <row r="113" spans="1:17" ht="12.75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1:17" ht="12.75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</row>
    <row r="115" spans="1:17" ht="12.7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1:17" ht="12.75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</row>
    <row r="117" spans="1:17" ht="12.7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1:17" ht="12.75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</row>
    <row r="119" spans="1:17" ht="12.75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</row>
    <row r="120" spans="1:17" ht="12.75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</row>
    <row r="121" spans="1:17" ht="12.75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1:17" ht="12.75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1:17" ht="12.75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</row>
    <row r="124" spans="1:17" ht="12.75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</row>
    <row r="125" spans="1:17" ht="12.75">
      <c r="A125" s="115"/>
      <c r="B125" s="115"/>
      <c r="C125" s="115"/>
      <c r="D125" s="115"/>
      <c r="K125" s="115"/>
      <c r="L125" s="115"/>
      <c r="M125" s="115"/>
      <c r="N125" s="115"/>
      <c r="O125" s="115"/>
      <c r="P125" s="115"/>
      <c r="Q125" s="115"/>
    </row>
    <row r="126" spans="1:17" ht="12.75">
      <c r="A126" s="115"/>
      <c r="B126" s="115"/>
      <c r="C126" s="115"/>
      <c r="D126" s="115"/>
      <c r="K126" s="115"/>
      <c r="L126" s="115"/>
      <c r="M126" s="115"/>
      <c r="N126" s="115"/>
      <c r="O126" s="115"/>
      <c r="P126" s="115"/>
      <c r="Q126" s="115"/>
    </row>
    <row r="127" spans="1:17" ht="12.75">
      <c r="A127" s="115"/>
      <c r="B127" s="115"/>
      <c r="C127" s="115"/>
      <c r="D127" s="115"/>
      <c r="K127" s="115"/>
      <c r="L127" s="115"/>
      <c r="M127" s="115"/>
      <c r="N127" s="115"/>
      <c r="O127" s="115"/>
      <c r="P127" s="115"/>
      <c r="Q127" s="115"/>
    </row>
    <row r="128" spans="1:17" ht="12.75">
      <c r="A128" s="115"/>
      <c r="B128" s="115"/>
      <c r="C128" s="115"/>
      <c r="D128" s="115"/>
      <c r="K128" s="115"/>
      <c r="L128" s="115"/>
      <c r="M128" s="115"/>
      <c r="N128" s="115"/>
      <c r="O128" s="115"/>
      <c r="P128" s="115"/>
      <c r="Q128" s="115"/>
    </row>
  </sheetData>
  <mergeCells count="1">
    <mergeCell ref="N1:N2"/>
  </mergeCells>
  <printOptions horizontalCentered="1" verticalCentered="1"/>
  <pageMargins left="0.3" right="0.22" top="0.7" bottom="0.33" header="0.35" footer="0.28"/>
  <pageSetup horizontalDpi="300" verticalDpi="300" orientation="landscape" paperSize="9" scale="95" r:id="rId2"/>
  <headerFooter alignWithMargins="0">
    <oddHeader>&amp;C&amp;"Arial,Grassetto Corsivo"&amp;14Inviluppi di rottura dell'ammasso roccioso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8"/>
  <sheetViews>
    <sheetView workbookViewId="0" topLeftCell="A1">
      <selection activeCell="F1" sqref="F1"/>
    </sheetView>
  </sheetViews>
  <sheetFormatPr defaultColWidth="9.140625" defaultRowHeight="12.75"/>
  <cols>
    <col min="8" max="8" width="7.140625" style="0" customWidth="1"/>
    <col min="9" max="9" width="10.140625" style="0" customWidth="1"/>
    <col min="10" max="10" width="9.57421875" style="0" customWidth="1"/>
    <col min="11" max="11" width="7.57421875" style="0" customWidth="1"/>
    <col min="12" max="12" width="11.00390625" style="0" customWidth="1"/>
    <col min="14" max="14" width="10.28125" style="0" customWidth="1"/>
    <col min="15" max="15" width="7.7109375" style="0" customWidth="1"/>
  </cols>
  <sheetData>
    <row r="1" spans="1:15" ht="15">
      <c r="A1" s="324" t="str">
        <f>inviluppi!A1</f>
        <v>Piano di recupero "La Cementifera"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345" t="str">
        <f>'Q''_GSI'!C9</f>
        <v>RG 4</v>
      </c>
      <c r="O1" s="286"/>
    </row>
    <row r="2" spans="1:15" ht="15">
      <c r="A2" s="324" t="str">
        <f>inviluppi!A2</f>
        <v>Robbiate (LC)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346"/>
      <c r="O2" s="286"/>
    </row>
    <row r="3" spans="1:15" ht="15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spans="1:17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6"/>
      <c r="L4" s="91"/>
      <c r="M4" s="16"/>
      <c r="N4" s="16"/>
      <c r="O4" s="16"/>
      <c r="P4" s="116"/>
      <c r="Q4" s="116"/>
    </row>
    <row r="5" spans="1:17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6"/>
      <c r="L5" s="16"/>
      <c r="M5" s="16"/>
      <c r="N5" s="16"/>
      <c r="O5" s="16"/>
      <c r="P5" s="116"/>
      <c r="Q5" s="116"/>
    </row>
    <row r="6" spans="1:17" ht="12.75">
      <c r="A6" s="3"/>
      <c r="B6" s="3"/>
      <c r="C6" s="3"/>
      <c r="D6" s="3"/>
      <c r="E6" s="3"/>
      <c r="F6" s="3"/>
      <c r="G6" s="3"/>
      <c r="H6" s="3"/>
      <c r="I6" s="3"/>
      <c r="J6" s="17"/>
      <c r="K6" s="2"/>
      <c r="L6" s="2"/>
      <c r="M6" s="2"/>
      <c r="N6" s="2"/>
      <c r="O6" s="2"/>
      <c r="P6" s="117"/>
      <c r="Q6" s="117"/>
    </row>
    <row r="7" spans="1:17" ht="12.75">
      <c r="A7" s="3"/>
      <c r="B7" s="3"/>
      <c r="C7" s="3"/>
      <c r="D7" s="3"/>
      <c r="E7" s="3"/>
      <c r="F7" s="3"/>
      <c r="G7" s="3"/>
      <c r="H7" s="3"/>
      <c r="I7" s="3"/>
      <c r="J7" s="17"/>
      <c r="K7" s="2"/>
      <c r="L7" s="2"/>
      <c r="M7" s="2"/>
      <c r="N7" s="2"/>
      <c r="O7" s="2"/>
      <c r="P7" s="117"/>
      <c r="Q7" s="117"/>
    </row>
    <row r="8" spans="1:17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14"/>
      <c r="Q8" s="114"/>
    </row>
    <row r="9" spans="1:17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14"/>
      <c r="Q9" s="114"/>
    </row>
    <row r="10" spans="1:17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14"/>
      <c r="Q10" s="114"/>
    </row>
    <row r="11" spans="1:17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14"/>
      <c r="Q11" s="114"/>
    </row>
    <row r="12" spans="1:17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14"/>
      <c r="Q12" s="114"/>
    </row>
    <row r="13" spans="1:17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14"/>
      <c r="Q13" s="114"/>
    </row>
    <row r="14" spans="1:17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14"/>
      <c r="Q14" s="114"/>
    </row>
    <row r="15" spans="1:17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14"/>
      <c r="Q15" s="114"/>
    </row>
    <row r="16" spans="1:17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14"/>
      <c r="Q16" s="114"/>
    </row>
    <row r="17" spans="1:17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14"/>
      <c r="Q17" s="114"/>
    </row>
    <row r="18" spans="1:17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14"/>
      <c r="Q18" s="114"/>
    </row>
    <row r="19" spans="1:17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14"/>
      <c r="Q19" s="114"/>
    </row>
    <row r="20" spans="1:1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14"/>
      <c r="Q20" s="114"/>
    </row>
    <row r="21" spans="1:17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14"/>
      <c r="Q21" s="114"/>
    </row>
    <row r="22" spans="1:17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14"/>
      <c r="Q22" s="114"/>
    </row>
    <row r="23" spans="1:17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14"/>
      <c r="Q23" s="114"/>
    </row>
    <row r="24" spans="1:17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14"/>
      <c r="Q24" s="114"/>
    </row>
    <row r="25" spans="1:17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14"/>
      <c r="Q25" s="114"/>
    </row>
    <row r="26" spans="1:17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14"/>
      <c r="Q26" s="114"/>
    </row>
    <row r="27" spans="1:17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14"/>
      <c r="Q27" s="114"/>
    </row>
    <row r="28" spans="1:17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14"/>
      <c r="Q28" s="114"/>
    </row>
    <row r="29" spans="1:17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14"/>
      <c r="Q29" s="114"/>
    </row>
    <row r="30" spans="1:17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14"/>
      <c r="Q30" s="114"/>
    </row>
    <row r="31" spans="1:17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14"/>
      <c r="Q31" s="114"/>
    </row>
    <row r="32" spans="1:15" ht="12.75">
      <c r="A32" s="76" t="s">
        <v>57</v>
      </c>
      <c r="B32" s="17"/>
      <c r="C32" s="17"/>
      <c r="D32" s="17"/>
      <c r="E32" s="17"/>
      <c r="F32" s="17"/>
      <c r="G32" s="17"/>
      <c r="I32" s="17"/>
      <c r="J32" s="17"/>
      <c r="K32" s="17"/>
      <c r="L32" s="17"/>
      <c r="M32" s="17"/>
      <c r="O32" s="17"/>
    </row>
    <row r="33" spans="1:15" ht="15.75">
      <c r="A33" s="238" t="s">
        <v>128</v>
      </c>
      <c r="B33" s="17"/>
      <c r="C33" s="17"/>
      <c r="D33" s="17"/>
      <c r="E33" s="17"/>
      <c r="F33" s="17"/>
      <c r="G33" s="17"/>
      <c r="H33" s="39" t="s">
        <v>115</v>
      </c>
      <c r="I33" s="287"/>
      <c r="J33" s="287"/>
      <c r="K33" s="287"/>
      <c r="L33" s="287"/>
      <c r="M33" s="40" t="s">
        <v>114</v>
      </c>
      <c r="N33" s="40" t="s">
        <v>94</v>
      </c>
      <c r="O33" s="17"/>
    </row>
    <row r="34" spans="1:15" ht="14.25">
      <c r="A34" s="17"/>
      <c r="B34" s="17"/>
      <c r="C34" s="17"/>
      <c r="D34" s="17"/>
      <c r="E34" s="17"/>
      <c r="F34" s="17"/>
      <c r="G34" s="17"/>
      <c r="H34" s="65" t="s">
        <v>62</v>
      </c>
      <c r="I34" s="80"/>
      <c r="J34" s="80"/>
      <c r="K34" s="80"/>
      <c r="L34" s="9" t="s">
        <v>125</v>
      </c>
      <c r="M34" s="83">
        <f>'Q''_GSI'!J121</f>
        <v>0.7154134634559011</v>
      </c>
      <c r="N34" s="83">
        <f>'Q''_GSI'!J129</f>
        <v>0.6427255392251277</v>
      </c>
      <c r="O34" s="17"/>
    </row>
    <row r="35" spans="1:15" ht="12.75">
      <c r="A35" s="39" t="s">
        <v>58</v>
      </c>
      <c r="B35" s="287"/>
      <c r="C35" s="287"/>
      <c r="D35" s="287"/>
      <c r="E35" s="287"/>
      <c r="F35" s="288"/>
      <c r="G35" s="17"/>
      <c r="H35" s="68"/>
      <c r="I35" s="2"/>
      <c r="J35" s="2"/>
      <c r="K35" s="2"/>
      <c r="L35" s="162" t="s">
        <v>63</v>
      </c>
      <c r="M35" s="240">
        <f>'Q''_GSI'!J122</f>
        <v>0.000584680832876515</v>
      </c>
      <c r="N35" s="240">
        <f>'Q''_GSI'!J130</f>
        <v>0.0004189421234483841</v>
      </c>
      <c r="O35" s="17"/>
    </row>
    <row r="36" spans="1:15" ht="14.25">
      <c r="A36" s="68" t="s">
        <v>59</v>
      </c>
      <c r="B36" s="16"/>
      <c r="C36" s="16"/>
      <c r="D36" s="16"/>
      <c r="E36" s="234" t="s">
        <v>121</v>
      </c>
      <c r="F36" s="49">
        <f>'Q''_GSI'!J114</f>
        <v>56.52</v>
      </c>
      <c r="G36" s="17"/>
      <c r="H36" s="68"/>
      <c r="I36" s="2"/>
      <c r="J36" s="2"/>
      <c r="K36" s="2"/>
      <c r="L36" s="162" t="s">
        <v>84</v>
      </c>
      <c r="M36" s="266">
        <f>'Q''_GSI'!J123</f>
        <v>0.518259153709567</v>
      </c>
      <c r="N36" s="266">
        <f>'Q''_GSI'!J131</f>
        <v>0.5223483061068095</v>
      </c>
      <c r="O36" s="17"/>
    </row>
    <row r="37" spans="1:15" ht="14.25">
      <c r="A37" s="68" t="s">
        <v>86</v>
      </c>
      <c r="B37" s="16"/>
      <c r="C37" s="16"/>
      <c r="D37" s="16"/>
      <c r="E37" s="235" t="s">
        <v>122</v>
      </c>
      <c r="F37" s="37">
        <f>'Q''_GSI'!J115</f>
        <v>7.104343763944569</v>
      </c>
      <c r="G37" s="17"/>
      <c r="H37" s="65" t="s">
        <v>88</v>
      </c>
      <c r="I37" s="66"/>
      <c r="J37" s="66"/>
      <c r="K37" s="66"/>
      <c r="L37" s="234" t="s">
        <v>87</v>
      </c>
      <c r="M37" s="231">
        <f>'Q''_GSI'!J124</f>
        <v>0.04619169523948669</v>
      </c>
      <c r="N37" s="231">
        <f>'Q''_GSI'!J132</f>
        <v>0.03684093345014684</v>
      </c>
      <c r="O37" s="17"/>
    </row>
    <row r="38" spans="1:15" ht="14.25">
      <c r="A38" s="216" t="s">
        <v>60</v>
      </c>
      <c r="B38" s="284"/>
      <c r="C38" s="284"/>
      <c r="D38" s="284"/>
      <c r="E38" s="232" t="s">
        <v>61</v>
      </c>
      <c r="F38" s="289">
        <f>'Q''_GSI'!J116</f>
        <v>7.83</v>
      </c>
      <c r="G38" s="17"/>
      <c r="H38" s="68" t="s">
        <v>64</v>
      </c>
      <c r="I38" s="2"/>
      <c r="J38" s="2"/>
      <c r="K38" s="2"/>
      <c r="L38" s="235" t="s">
        <v>126</v>
      </c>
      <c r="M38" s="119">
        <f>'Q''_GSI'!J125</f>
        <v>1.19296652141202</v>
      </c>
      <c r="N38" s="119">
        <f>'Q''_GSI'!J133</f>
        <v>0.972277044739981</v>
      </c>
      <c r="O38" s="17"/>
    </row>
    <row r="39" spans="1:15" ht="14.25">
      <c r="A39" s="16"/>
      <c r="B39" s="16"/>
      <c r="C39" s="16"/>
      <c r="D39" s="16"/>
      <c r="E39" s="11"/>
      <c r="F39" s="307"/>
      <c r="G39" s="17"/>
      <c r="H39" s="68" t="s">
        <v>100</v>
      </c>
      <c r="I39" s="2"/>
      <c r="J39" s="2"/>
      <c r="K39" s="2"/>
      <c r="L39" s="235" t="s">
        <v>101</v>
      </c>
      <c r="M39" s="119">
        <f>'Q''_GSI'!J126</f>
        <v>5.9182098000779995</v>
      </c>
      <c r="N39" s="119">
        <f>'Q''_GSI'!J134</f>
        <v>5.47146861112503</v>
      </c>
      <c r="O39" s="17"/>
    </row>
    <row r="40" spans="1:15" ht="14.25">
      <c r="A40" s="3"/>
      <c r="B40" s="3"/>
      <c r="C40" s="3"/>
      <c r="D40" s="3"/>
      <c r="E40" s="3"/>
      <c r="F40" s="3"/>
      <c r="G40" s="3"/>
      <c r="H40" s="216" t="s">
        <v>117</v>
      </c>
      <c r="I40" s="217"/>
      <c r="J40" s="217"/>
      <c r="K40" s="217"/>
      <c r="L40" s="232" t="s">
        <v>127</v>
      </c>
      <c r="M40" s="118">
        <f>'Q''_GSI'!J139</f>
        <v>2.8255375067777475</v>
      </c>
      <c r="N40" s="118">
        <f>'Q''_GSI'!J140</f>
        <v>2.377393530739074</v>
      </c>
      <c r="O40" s="17"/>
    </row>
    <row r="41" spans="1:13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</row>
    <row r="42" spans="1:13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</row>
    <row r="43" spans="1:13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</row>
    <row r="44" spans="1:17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</row>
    <row r="45" spans="1:17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</row>
    <row r="46" spans="1:17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</row>
    <row r="47" spans="1:17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</row>
    <row r="48" spans="1:17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</row>
    <row r="49" spans="1:17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</row>
    <row r="50" spans="1:17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</row>
    <row r="51" spans="1:17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</row>
    <row r="52" spans="1:17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</row>
    <row r="53" spans="1:17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</row>
    <row r="54" spans="1:17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</row>
    <row r="55" spans="1:17" ht="12.75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</row>
    <row r="56" spans="1:17" ht="12.75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</row>
    <row r="57" spans="1:17" ht="12.75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</row>
    <row r="58" spans="1:17" ht="12.7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</row>
    <row r="59" spans="1:17" ht="12.75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</row>
    <row r="60" spans="1:17" ht="12.7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</row>
    <row r="61" spans="1:17" ht="12.7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</row>
    <row r="62" spans="1:17" ht="12.7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</row>
    <row r="63" spans="1:17" ht="12.7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</row>
    <row r="64" spans="1:17" ht="12.7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</row>
    <row r="65" spans="1:17" ht="12.75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</row>
    <row r="66" spans="1:17" ht="12.75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</row>
    <row r="67" spans="1:17" ht="12.7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</row>
    <row r="68" spans="1:17" ht="12.75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</row>
    <row r="69" spans="1:17" ht="12.75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</row>
    <row r="70" spans="1:17" ht="12.75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</row>
    <row r="71" spans="1:17" ht="12.75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</row>
    <row r="72" spans="1:17" ht="12.75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</row>
    <row r="73" spans="1:17" ht="12.75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</row>
    <row r="74" spans="1:17" ht="12.75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</row>
    <row r="75" spans="1:17" ht="12.75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</row>
    <row r="76" spans="1:17" ht="12.75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</row>
    <row r="77" spans="1:17" ht="12.75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</row>
    <row r="78" spans="1:17" ht="12.75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</row>
    <row r="79" spans="1:17" ht="12.75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</row>
    <row r="80" spans="1:17" ht="12.75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</row>
    <row r="81" spans="1:17" ht="12.75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</row>
    <row r="82" spans="1:17" ht="12.75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</row>
    <row r="83" spans="1:17" ht="12.7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</row>
    <row r="84" spans="1:17" ht="12.75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</row>
    <row r="85" spans="1:17" ht="12.7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</row>
    <row r="86" spans="1:17" ht="12.75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</row>
    <row r="87" spans="1:17" ht="12.7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</row>
    <row r="88" spans="1:17" ht="12.7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</row>
    <row r="89" spans="1:17" ht="12.7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</row>
    <row r="90" spans="1:17" ht="12.75">
      <c r="A90" s="114"/>
      <c r="B90" s="114"/>
      <c r="C90" s="114"/>
      <c r="D90" s="114"/>
      <c r="E90" s="115"/>
      <c r="F90" s="115"/>
      <c r="G90" s="115"/>
      <c r="H90" s="115"/>
      <c r="I90" s="115"/>
      <c r="J90" s="115"/>
      <c r="K90" s="114"/>
      <c r="L90" s="114"/>
      <c r="M90" s="114"/>
      <c r="N90" s="114"/>
      <c r="O90" s="114"/>
      <c r="P90" s="114"/>
      <c r="Q90" s="114"/>
    </row>
    <row r="91" spans="1:17" ht="12.75">
      <c r="A91" s="114"/>
      <c r="B91" s="114"/>
      <c r="C91" s="114"/>
      <c r="D91" s="114"/>
      <c r="E91" s="115"/>
      <c r="F91" s="115"/>
      <c r="G91" s="115"/>
      <c r="H91" s="115"/>
      <c r="I91" s="115"/>
      <c r="J91" s="115"/>
      <c r="K91" s="114"/>
      <c r="L91" s="114"/>
      <c r="M91" s="114"/>
      <c r="N91" s="114"/>
      <c r="O91" s="114"/>
      <c r="P91" s="114"/>
      <c r="Q91" s="114"/>
    </row>
    <row r="92" spans="1:17" ht="12.75">
      <c r="A92" s="114"/>
      <c r="B92" s="114"/>
      <c r="C92" s="114"/>
      <c r="D92" s="114"/>
      <c r="E92" s="115"/>
      <c r="F92" s="115"/>
      <c r="G92" s="115"/>
      <c r="H92" s="115"/>
      <c r="I92" s="115"/>
      <c r="J92" s="115"/>
      <c r="K92" s="114"/>
      <c r="L92" s="114"/>
      <c r="M92" s="114"/>
      <c r="N92" s="114"/>
      <c r="O92" s="114"/>
      <c r="P92" s="114"/>
      <c r="Q92" s="114"/>
    </row>
    <row r="93" spans="1:17" ht="12.75">
      <c r="A93" s="114"/>
      <c r="B93" s="114"/>
      <c r="C93" s="114"/>
      <c r="D93" s="114"/>
      <c r="E93" s="115"/>
      <c r="F93" s="115"/>
      <c r="G93" s="115"/>
      <c r="H93" s="115"/>
      <c r="I93" s="115"/>
      <c r="J93" s="115"/>
      <c r="K93" s="114"/>
      <c r="L93" s="114"/>
      <c r="M93" s="114"/>
      <c r="N93" s="114"/>
      <c r="O93" s="114"/>
      <c r="P93" s="114"/>
      <c r="Q93" s="114"/>
    </row>
    <row r="94" spans="1:17" ht="12.75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</row>
    <row r="95" spans="1:17" ht="12.75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</row>
    <row r="96" spans="1:17" ht="12.75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1:17" ht="12.75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1:17" ht="12.75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1:17" ht="12.75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spans="1:17" ht="12.75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</row>
    <row r="101" spans="1:17" ht="12.75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</row>
    <row r="102" spans="1:17" ht="12.75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</row>
    <row r="103" spans="1:17" ht="12.75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</row>
    <row r="104" spans="1:17" ht="12.75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</row>
    <row r="105" spans="1:17" ht="12.75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</row>
    <row r="106" spans="1:17" ht="12.75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</row>
    <row r="107" spans="1:17" ht="12.75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</row>
    <row r="108" spans="1:17" ht="12.75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</row>
    <row r="109" spans="1:17" ht="12.75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</row>
    <row r="110" spans="1:17" ht="12.75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</row>
    <row r="111" spans="1:17" ht="12.7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</row>
    <row r="112" spans="1:17" ht="12.75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</row>
    <row r="113" spans="1:17" ht="12.75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1:17" ht="12.75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</row>
    <row r="115" spans="1:17" ht="12.7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1:17" ht="12.75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</row>
    <row r="117" spans="1:17" ht="12.7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1:17" ht="12.75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</row>
    <row r="119" spans="1:17" ht="12.75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</row>
    <row r="120" spans="1:17" ht="12.75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</row>
    <row r="121" spans="1:17" ht="12.75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1:17" ht="12.75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1:17" ht="12.75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</row>
    <row r="124" spans="1:17" ht="12.75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</row>
    <row r="125" spans="1:17" ht="12.75">
      <c r="A125" s="115"/>
      <c r="B125" s="115"/>
      <c r="C125" s="115"/>
      <c r="D125" s="115"/>
      <c r="K125" s="115"/>
      <c r="L125" s="115"/>
      <c r="M125" s="115"/>
      <c r="N125" s="115"/>
      <c r="O125" s="115"/>
      <c r="P125" s="115"/>
      <c r="Q125" s="115"/>
    </row>
    <row r="126" spans="1:17" ht="12.75">
      <c r="A126" s="115"/>
      <c r="B126" s="115"/>
      <c r="C126" s="115"/>
      <c r="D126" s="115"/>
      <c r="K126" s="115"/>
      <c r="L126" s="115"/>
      <c r="M126" s="115"/>
      <c r="N126" s="115"/>
      <c r="O126" s="115"/>
      <c r="P126" s="115"/>
      <c r="Q126" s="115"/>
    </row>
    <row r="127" spans="1:17" ht="12.75">
      <c r="A127" s="115"/>
      <c r="B127" s="115"/>
      <c r="C127" s="115"/>
      <c r="D127" s="115"/>
      <c r="K127" s="115"/>
      <c r="L127" s="115"/>
      <c r="M127" s="115"/>
      <c r="N127" s="115"/>
      <c r="O127" s="115"/>
      <c r="P127" s="115"/>
      <c r="Q127" s="115"/>
    </row>
    <row r="128" spans="1:17" ht="12.75">
      <c r="A128" s="115"/>
      <c r="B128" s="115"/>
      <c r="C128" s="115"/>
      <c r="D128" s="115"/>
      <c r="K128" s="115"/>
      <c r="L128" s="115"/>
      <c r="M128" s="115"/>
      <c r="N128" s="115"/>
      <c r="O128" s="115"/>
      <c r="P128" s="115"/>
      <c r="Q128" s="115"/>
    </row>
  </sheetData>
  <mergeCells count="1">
    <mergeCell ref="N1:N2"/>
  </mergeCells>
  <printOptions horizontalCentered="1" verticalCentered="1"/>
  <pageMargins left="0.3" right="0.22" top="0.85" bottom="0.29" header="0.33" footer="0.23"/>
  <pageSetup horizontalDpi="300" verticalDpi="300" orientation="landscape" paperSize="9" scale="95" r:id="rId2"/>
  <headerFooter alignWithMargins="0">
    <oddHeader>&amp;C&amp;"Arial,Grassetto Corsivo"&amp;14Inviluppi di rottura dell'ammasso roccioso
(0 &lt; &amp;"Symbol,Corsivo grassetto"s&amp;"Arial,Grassetto Corsivo"&amp;Y3&amp;Y &lt; 1 MPa)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Previati</dc:creator>
  <cp:keywords/>
  <dc:description/>
  <cp:lastModifiedBy>giovanni</cp:lastModifiedBy>
  <cp:lastPrinted>2003-01-15T09:26:26Z</cp:lastPrinted>
  <dcterms:created xsi:type="dcterms:W3CDTF">2000-03-13T11:19:58Z</dcterms:created>
  <dcterms:modified xsi:type="dcterms:W3CDTF">2003-01-15T09:30:29Z</dcterms:modified>
  <cp:category/>
  <cp:version/>
  <cp:contentType/>
  <cp:contentStatus/>
</cp:coreProperties>
</file>